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450" windowHeight="5055" activeTab="0"/>
  </bookViews>
  <sheets>
    <sheet name="Tringle" sheetId="1" r:id="rId1"/>
    <sheet name="Gaine" sheetId="2" r:id="rId2"/>
    <sheet name="Câbles A-R" sheetId="3" r:id="rId3"/>
    <sheet name="A Propos" sheetId="4" r:id="rId4"/>
    <sheet name="Calc_Tringle" sheetId="5" state="hidden" r:id="rId5"/>
    <sheet name="Calc_Gaine" sheetId="6" state="hidden" r:id="rId6"/>
    <sheet name="Calc_Cable" sheetId="7" state="hidden" r:id="rId7"/>
  </sheets>
  <definedNames/>
  <calcPr fullCalcOnLoad="1"/>
</workbook>
</file>

<file path=xl/sharedStrings.xml><?xml version="1.0" encoding="utf-8"?>
<sst xmlns="http://schemas.openxmlformats.org/spreadsheetml/2006/main" count="838" uniqueCount="188">
  <si>
    <t>Décalage palonnier</t>
  </si>
  <si>
    <t>Rayon palonnier</t>
  </si>
  <si>
    <t>Rayon guignol</t>
  </si>
  <si>
    <t>Décalage guignol</t>
  </si>
  <si>
    <t>Extrémité du palonnier</t>
  </si>
  <si>
    <t>X</t>
  </si>
  <si>
    <t>Y</t>
  </si>
  <si>
    <t>Axe de la gouverne</t>
  </si>
  <si>
    <t>Origine</t>
  </si>
  <si>
    <t>L'axe de sortie du servo est considéré comme l'origine du repère</t>
  </si>
  <si>
    <t>Angle du palonnier/servo (rad)</t>
  </si>
  <si>
    <t>Prolongement palonnier 1 (calculs)</t>
  </si>
  <si>
    <t>Prolongement palonnier 2 (calculs)</t>
  </si>
  <si>
    <t>Angle beta 1</t>
  </si>
  <si>
    <t>Angle beta 2</t>
  </si>
  <si>
    <t>Angle delta 1</t>
  </si>
  <si>
    <t>Extrémité du palonnier position 1</t>
  </si>
  <si>
    <t>Extrémité du palonnier position 2</t>
  </si>
  <si>
    <t>Distance Extrémité palonnier/axe gouverne 1</t>
  </si>
  <si>
    <t>Distance Extrémité palonnier/axe gouverne 2</t>
  </si>
  <si>
    <t>Angle delta 2</t>
  </si>
  <si>
    <t>Angle gamma 1</t>
  </si>
  <si>
    <t>Angle gamma 2</t>
  </si>
  <si>
    <t>Extrémité du guignol</t>
  </si>
  <si>
    <t>Extrémité du guignol 1</t>
  </si>
  <si>
    <t>Extrémité du guignol 2</t>
  </si>
  <si>
    <t>Corde de la gouverne</t>
  </si>
  <si>
    <t>Neutre</t>
  </si>
  <si>
    <t>Position 1</t>
  </si>
  <si>
    <t>Position 2</t>
  </si>
  <si>
    <t xml:space="preserve">Reprise valeurs pour graphe </t>
  </si>
  <si>
    <t>Longueur tirant (mm)</t>
  </si>
  <si>
    <t>Angle guignol/gouverne (rad)</t>
  </si>
  <si>
    <t>Débattement du servo +/- (rad)</t>
  </si>
  <si>
    <t>Extrémité de la gouverne 1</t>
  </si>
  <si>
    <t>Débattement angulaire 1 (°)</t>
  </si>
  <si>
    <t>Mesure débattement 1 (mm)</t>
  </si>
  <si>
    <t>Angle gouverne/corps servo 1 (rad)</t>
  </si>
  <si>
    <t>Extrémité de la gouverne</t>
  </si>
  <si>
    <t>Angle gouverne/corps servo 2 (rad)</t>
  </si>
  <si>
    <t>Extrémité de la gouverne 2</t>
  </si>
  <si>
    <t>Débattement angulaire 2 (°)</t>
  </si>
  <si>
    <t>Mesure débattement 2 (mm)</t>
  </si>
  <si>
    <t>Angle palonnier position extrême 1</t>
  </si>
  <si>
    <t>Angle palonnier position extrême 2</t>
  </si>
  <si>
    <t>Origine S</t>
  </si>
  <si>
    <t>Distance référence (initiale) (mm)</t>
  </si>
  <si>
    <t>Extrémité du palonnier 1</t>
  </si>
  <si>
    <t>Distance position 1 (mm)</t>
  </si>
  <si>
    <t>Extrémité du palonnier 2</t>
  </si>
  <si>
    <t>Distance position 2 (mm)</t>
  </si>
  <si>
    <t>Débattement linéaire 1 (mm)</t>
  </si>
  <si>
    <t>Débattement linéaire 2 (mm)</t>
  </si>
  <si>
    <t>Origine G</t>
  </si>
  <si>
    <t>Distance point fixe gaine/guignol 1</t>
  </si>
  <si>
    <t>Distance point fixe gaine/guignol 2</t>
  </si>
  <si>
    <t>Distance point fixe gaine/guignol neutre</t>
  </si>
  <si>
    <t>Point fixe gaine G</t>
  </si>
  <si>
    <t>Point fixe gaine S</t>
  </si>
  <si>
    <t>Distance point fixe G/axe gouverne</t>
  </si>
  <si>
    <t>Liaison</t>
  </si>
  <si>
    <t>Angle gouverne au neutre</t>
  </si>
  <si>
    <t>Axe gouverne</t>
  </si>
  <si>
    <t>Extrémité gouverne au neutre</t>
  </si>
  <si>
    <t>Angle palonnier haut (rad)</t>
  </si>
  <si>
    <t>Angle palonnier bas (rad)</t>
  </si>
  <si>
    <t>Extrémité palonnier haut</t>
  </si>
  <si>
    <t>Extrémité palonnier bas</t>
  </si>
  <si>
    <t>Angle gouverne au neutre (rad)</t>
  </si>
  <si>
    <t>Longueur des câbles au neutre</t>
  </si>
  <si>
    <t>Extrémité guignol haut</t>
  </si>
  <si>
    <t>Extrémité guignol bas</t>
  </si>
  <si>
    <t>Angle guignol bas (rad)</t>
  </si>
  <si>
    <t>Angle guignol haut (rad)</t>
  </si>
  <si>
    <t>Position 1 - palonnier haut tire</t>
  </si>
  <si>
    <t>Angle palonnier haut 1 (rad)</t>
  </si>
  <si>
    <t>Angle palonnier bas 1 (rad)</t>
  </si>
  <si>
    <t>Extrémité palonnier haut 1</t>
  </si>
  <si>
    <t>Extrémité palonnier bas 1</t>
  </si>
  <si>
    <t>Angle guignol haut 1</t>
  </si>
  <si>
    <t>Angle guignol bas 1</t>
  </si>
  <si>
    <t>Angle gouverne1</t>
  </si>
  <si>
    <t>Angle guignol haut/gouverne</t>
  </si>
  <si>
    <t>Extrémité guignol haut 1</t>
  </si>
  <si>
    <t>Extrémité guignol bas 1</t>
  </si>
  <si>
    <t>Extrémité gouverne 1</t>
  </si>
  <si>
    <t>Distance palonnier bas / guignol bas</t>
  </si>
  <si>
    <t>Position 2 - palonnier bas tire</t>
  </si>
  <si>
    <t>Angle palonnier haut 2 (rad)</t>
  </si>
  <si>
    <t>Angle palonnier bas 2 (rad)</t>
  </si>
  <si>
    <t>Extrémité palonnier haut 2</t>
  </si>
  <si>
    <t>Extrémité palonnier bas 2</t>
  </si>
  <si>
    <t>Angle guignol haut 2</t>
  </si>
  <si>
    <t>Angle guignol bas 2</t>
  </si>
  <si>
    <t>Angle gouverne2</t>
  </si>
  <si>
    <t>Extrémité guignol haut 2</t>
  </si>
  <si>
    <t>Extrémité guignol bas 2</t>
  </si>
  <si>
    <t>Extrémité gouverne 2</t>
  </si>
  <si>
    <t>Angle guignol bas/gouverne</t>
  </si>
  <si>
    <t>Distance palonnier haut / guignol haut</t>
  </si>
  <si>
    <t>Reprise des valeurs pour graphe</t>
  </si>
  <si>
    <t>Distance palonnier haut/axe gouverne 1</t>
  </si>
  <si>
    <t>Distance palonnier bas/axe gouverne 2</t>
  </si>
  <si>
    <t>Débattement angulaire (rad)</t>
  </si>
  <si>
    <t>Mesure débattement (mm)</t>
  </si>
  <si>
    <t>Calculs</t>
  </si>
  <si>
    <t>Coefficient de sens du palonnier</t>
  </si>
  <si>
    <t>Coefficient de sens du guignol</t>
  </si>
  <si>
    <t>Débattement servo</t>
  </si>
  <si>
    <t>Décalage horizontal</t>
  </si>
  <si>
    <t>Décalage vertical</t>
  </si>
  <si>
    <t>DH =</t>
  </si>
  <si>
    <t>DV =</t>
  </si>
  <si>
    <t>A =</t>
  </si>
  <si>
    <t>rp =</t>
  </si>
  <si>
    <t>dp =</t>
  </si>
  <si>
    <t>rg =</t>
  </si>
  <si>
    <t>dg =</t>
  </si>
  <si>
    <t>= +/-</t>
  </si>
  <si>
    <t>C =</t>
  </si>
  <si>
    <t>mm</t>
  </si>
  <si>
    <t>°</t>
  </si>
  <si>
    <t>Cinématique à tringle rigide articulée</t>
  </si>
  <si>
    <t>Résultats</t>
  </si>
  <si>
    <t>Les valeurs peuvent être positives (vers la droite et le haut) ou négatives (vers la gauche ou le bas).</t>
  </si>
  <si>
    <t>La mesure des débattements en mm est donnée entre l'extrémité de la gouverne au neutre et son extrémité à plein débattement.</t>
  </si>
  <si>
    <t>Débattement angulaire haut</t>
  </si>
  <si>
    <t>Débattement angulaire bas</t>
  </si>
  <si>
    <t>Débattement linéaire haut</t>
  </si>
  <si>
    <t>Débattement linéaire bas</t>
  </si>
  <si>
    <t>DHp =</t>
  </si>
  <si>
    <t>DVp =</t>
  </si>
  <si>
    <t>DHg =</t>
  </si>
  <si>
    <t>DVg =</t>
  </si>
  <si>
    <t>Cinématique à gaine</t>
  </si>
  <si>
    <t>Cinématique à câbles aller-retour</t>
  </si>
  <si>
    <t>Débattement angulaire +/-</t>
  </si>
  <si>
    <t>Débattement linéaire +/-</t>
  </si>
  <si>
    <t>Avec l'amical soutien de Franck AGUERRE</t>
  </si>
  <si>
    <t>Décalage horizontal palonnier</t>
  </si>
  <si>
    <t>Décalage vertical palonnier</t>
  </si>
  <si>
    <t>Décalage horizontal guignol</t>
  </si>
  <si>
    <t>Décalage vertical guignol</t>
  </si>
  <si>
    <t>Palonnier</t>
  </si>
  <si>
    <t>Guignol</t>
  </si>
  <si>
    <t>Corde gouverne</t>
  </si>
  <si>
    <t>Longueur tirant</t>
  </si>
  <si>
    <t>Détente du câble inactif</t>
  </si>
  <si>
    <t>à une tierce personne, surtout dans le cas des grands débattements.</t>
  </si>
  <si>
    <t xml:space="preserve">Les résultats des débattements exprimés en mm correspondent à la figure ci-dessous, ce qui permet d'être précis pour transmettre l'information </t>
  </si>
  <si>
    <t>Le calculs sont basés sur les fonctions trigonométriques sin, cos, arcsin, arccos, ainsi que sur les relations dans le triangle quelconque.</t>
  </si>
  <si>
    <t>Merci de bien vouloir me faire part de tout résultat erroné, bug, faute d'orthographe, pour révision et amélioration.</t>
  </si>
  <si>
    <t>Calculs pour linéarité</t>
  </si>
  <si>
    <t>-8/8</t>
  </si>
  <si>
    <t>- 7/8</t>
  </si>
  <si>
    <t>- 6/8</t>
  </si>
  <si>
    <t>- 5/8</t>
  </si>
  <si>
    <t>- 4/8</t>
  </si>
  <si>
    <t>- 3/8</t>
  </si>
  <si>
    <t>- 2/8</t>
  </si>
  <si>
    <t>- 1/8</t>
  </si>
  <si>
    <t>-7/8</t>
  </si>
  <si>
    <t>-6/8</t>
  </si>
  <si>
    <t>-5/8</t>
  </si>
  <si>
    <t>-4/8</t>
  </si>
  <si>
    <t>-3/8</t>
  </si>
  <si>
    <t>-2/8</t>
  </si>
  <si>
    <t>-1/8</t>
  </si>
  <si>
    <t>0</t>
  </si>
  <si>
    <t>1/8</t>
  </si>
  <si>
    <t>2/8</t>
  </si>
  <si>
    <t>3/8</t>
  </si>
  <si>
    <t>4/8</t>
  </si>
  <si>
    <t>5/8</t>
  </si>
  <si>
    <t>6/8</t>
  </si>
  <si>
    <t>7/8</t>
  </si>
  <si>
    <t>8/8</t>
  </si>
  <si>
    <t>Graphe linéarité gouverne</t>
  </si>
  <si>
    <t>Graphe linéarité</t>
  </si>
  <si>
    <t>Segments</t>
  </si>
  <si>
    <t>Les graphes Angle palonnier / angle gouverne permettent de contrôler la linéarité de la réponse de la gouverne.</t>
  </si>
  <si>
    <t>La courbure étant souvent faible, il faut zoomer pour mieux la distinguer et cocher "Afficher les segments" pour tracer deux</t>
  </si>
  <si>
    <t>segments entre l'origine et les points extrêmes des courbes.</t>
  </si>
  <si>
    <t>Données d'entrée</t>
  </si>
  <si>
    <t>Cinégouvernes_V1.2</t>
  </si>
  <si>
    <t>V</t>
  </si>
  <si>
    <t>(C) Renaud ILTIS - Novembre 2013</t>
  </si>
  <si>
    <t>renaudiltis@yahoo.fr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</si>
</sst>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5"/>
      <name val="Arial"/>
      <family val="0"/>
    </font>
    <font>
      <sz val="10.75"/>
      <name val="Arial"/>
      <family val="0"/>
    </font>
    <font>
      <sz val="11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sz val="10"/>
      <color indexed="12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0" fillId="0" borderId="9" xfId="0" applyNumberFormat="1" applyBorder="1" applyAlignment="1">
      <alignment/>
    </xf>
    <xf numFmtId="2" fontId="8" fillId="0" borderId="1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6" xfId="0" applyNumberFormat="1" applyFont="1" applyBorder="1" applyAlignment="1" quotePrefix="1">
      <alignment horizontal="right"/>
    </xf>
    <xf numFmtId="2" fontId="7" fillId="0" borderId="0" xfId="0" applyNumberFormat="1" applyFont="1" applyFill="1" applyAlignment="1">
      <alignment horizontal="center" vertical="center"/>
    </xf>
    <xf numFmtId="0" fontId="9" fillId="0" borderId="0" xfId="15" applyAlignment="1">
      <alignment/>
    </xf>
    <xf numFmtId="0" fontId="11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1" fillId="0" borderId="16" xfId="0" applyNumberFormat="1" applyFont="1" applyBorder="1" applyAlignment="1" quotePrefix="1">
      <alignment/>
    </xf>
    <xf numFmtId="2" fontId="1" fillId="0" borderId="0" xfId="0" applyNumberFormat="1" applyFont="1" applyBorder="1" applyAlignment="1" quotePrefix="1">
      <alignment/>
    </xf>
    <xf numFmtId="2" fontId="0" fillId="0" borderId="4" xfId="0" applyNumberFormat="1" applyBorder="1" applyAlignment="1" quotePrefix="1">
      <alignment horizontal="center"/>
    </xf>
    <xf numFmtId="2" fontId="0" fillId="0" borderId="5" xfId="0" applyNumberFormat="1" applyBorder="1" applyAlignment="1" quotePrefix="1">
      <alignment horizontal="center"/>
    </xf>
    <xf numFmtId="2" fontId="0" fillId="0" borderId="1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 quotePrefix="1">
      <alignment/>
    </xf>
    <xf numFmtId="2" fontId="0" fillId="0" borderId="1" xfId="0" applyNumberFormat="1" applyBorder="1" applyAlignment="1">
      <alignment/>
    </xf>
    <xf numFmtId="2" fontId="0" fillId="0" borderId="4" xfId="0" applyNumberFormat="1" applyFill="1" applyBorder="1" applyAlignment="1">
      <alignment/>
    </xf>
    <xf numFmtId="0" fontId="13" fillId="0" borderId="0" xfId="0" applyNumberFormat="1" applyFont="1" applyFill="1" applyBorder="1" applyAlignment="1" applyProtection="1">
      <alignment/>
      <protection locked="0"/>
    </xf>
    <xf numFmtId="0" fontId="13" fillId="0" borderId="6" xfId="0" applyNumberFormat="1" applyFont="1" applyFill="1" applyBorder="1" applyAlignment="1" applyProtection="1">
      <alignment/>
      <protection locked="0"/>
    </xf>
    <xf numFmtId="2" fontId="0" fillId="0" borderId="3" xfId="0" applyNumberFormat="1" applyBorder="1" applyAlignment="1">
      <alignment horizontal="left"/>
    </xf>
    <xf numFmtId="2" fontId="0" fillId="0" borderId="7" xfId="0" applyNumberFormat="1" applyBorder="1" applyAlignment="1">
      <alignment horizontal="left"/>
    </xf>
    <xf numFmtId="2" fontId="0" fillId="0" borderId="8" xfId="0" applyNumberFormat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/>
    </xf>
    <xf numFmtId="0" fontId="13" fillId="0" borderId="6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2" fontId="6" fillId="0" borderId="7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6" fillId="0" borderId="7" xfId="0" applyFont="1" applyBorder="1" applyAlignment="1">
      <alignment/>
    </xf>
    <xf numFmtId="166" fontId="0" fillId="0" borderId="6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2" fontId="6" fillId="0" borderId="7" xfId="0" applyNumberFormat="1" applyFont="1" applyBorder="1" applyAlignment="1">
      <alignment horizontal="left"/>
    </xf>
    <xf numFmtId="2" fontId="6" fillId="0" borderId="8" xfId="0" applyNumberFormat="1" applyFont="1" applyBorder="1" applyAlignment="1">
      <alignment horizontal="left"/>
    </xf>
    <xf numFmtId="0" fontId="0" fillId="0" borderId="0" xfId="0" applyFill="1" applyAlignment="1">
      <alignment/>
    </xf>
    <xf numFmtId="2" fontId="1" fillId="0" borderId="1" xfId="0" applyNumberFormat="1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1" fillId="0" borderId="2" xfId="0" applyNumberFormat="1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25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Calc_Tringle!$C$35:$C$39</c:f>
              <c:numCache>
                <c:ptCount val="5"/>
                <c:pt idx="0">
                  <c:v>0</c:v>
                </c:pt>
                <c:pt idx="1">
                  <c:v>3</c:v>
                </c:pt>
                <c:pt idx="2">
                  <c:v>96</c:v>
                </c:pt>
                <c:pt idx="3">
                  <c:v>100</c:v>
                </c:pt>
                <c:pt idx="4">
                  <c:v>140</c:v>
                </c:pt>
              </c:numCache>
            </c:numRef>
          </c:xVal>
          <c:yVal>
            <c:numRef>
              <c:f>Calc_Tringle!$D$35:$D$39</c:f>
              <c:numCache>
                <c:ptCount val="5"/>
                <c:pt idx="0">
                  <c:v>0</c:v>
                </c:pt>
                <c:pt idx="1">
                  <c:v>-14.696938456699069</c:v>
                </c:pt>
                <c:pt idx="2">
                  <c:v>-14.595917942265423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Calc_Tringle!$C$40:$C$44</c:f>
              <c:numCache>
                <c:ptCount val="5"/>
                <c:pt idx="0">
                  <c:v>0</c:v>
                </c:pt>
                <c:pt idx="1">
                  <c:v>11.745143269648706</c:v>
                </c:pt>
                <c:pt idx="2">
                  <c:v>104.60344405238624</c:v>
                </c:pt>
                <c:pt idx="3">
                  <c:v>100</c:v>
                </c:pt>
                <c:pt idx="4">
                  <c:v>136.2981541403185</c:v>
                </c:pt>
              </c:numCache>
            </c:numRef>
          </c:xVal>
          <c:yVal>
            <c:numRef>
              <c:f>Calc_Tringle!$D$40:$D$44</c:f>
              <c:numCache>
                <c:ptCount val="5"/>
                <c:pt idx="0">
                  <c:v>0</c:v>
                </c:pt>
                <c:pt idx="1">
                  <c:v>-9.33014520655631</c:v>
                </c:pt>
                <c:pt idx="2">
                  <c:v>-14.46299830078988</c:v>
                </c:pt>
                <c:pt idx="3">
                  <c:v>5</c:v>
                </c:pt>
                <c:pt idx="4">
                  <c:v>21.80607051055301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Calc_Tringle!$C$45:$C$49</c:f>
              <c:numCache>
                <c:ptCount val="5"/>
                <c:pt idx="0">
                  <c:v>0</c:v>
                </c:pt>
                <c:pt idx="1">
                  <c:v>-7.148876610934835</c:v>
                </c:pt>
                <c:pt idx="2">
                  <c:v>85.75878288902979</c:v>
                </c:pt>
                <c:pt idx="3">
                  <c:v>100</c:v>
                </c:pt>
                <c:pt idx="4">
                  <c:v>133.21377056137445</c:v>
                </c:pt>
              </c:numCache>
            </c:numRef>
          </c:xVal>
          <c:yVal>
            <c:numRef>
              <c:f>Calc_Tringle!$D$45:$D$49</c:f>
              <c:numCache>
                <c:ptCount val="5"/>
                <c:pt idx="0">
                  <c:v>0</c:v>
                </c:pt>
                <c:pt idx="1">
                  <c:v>-13.18687086467555</c:v>
                </c:pt>
                <c:pt idx="2">
                  <c:v>-9.042355044585971</c:v>
                </c:pt>
                <c:pt idx="3">
                  <c:v>5</c:v>
                </c:pt>
                <c:pt idx="4">
                  <c:v>-17.29003017262148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Calc_Tringle!$C$53:$C$54</c:f>
              <c:numCache>
                <c:ptCount val="2"/>
                <c:pt idx="0">
                  <c:v>109.03035255276505</c:v>
                </c:pt>
                <c:pt idx="1">
                  <c:v>0</c:v>
                </c:pt>
              </c:numCache>
            </c:numRef>
          </c:xVal>
          <c:yVal>
            <c:numRef>
              <c:f>Calc_Tringle!$D$53:$D$54</c:f>
              <c:numCache>
                <c:ptCount val="2"/>
                <c:pt idx="0">
                  <c:v>28</c:v>
                </c:pt>
                <c:pt idx="1">
                  <c:v>-28</c:v>
                </c:pt>
              </c:numCache>
            </c:numRef>
          </c:yVal>
          <c:smooth val="0"/>
        </c:ser>
        <c:axId val="18354535"/>
        <c:axId val="30973088"/>
      </c:scatterChart>
      <c:valAx>
        <c:axId val="183545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0973088"/>
        <c:crosses val="autoZero"/>
        <c:crossBetween val="midCat"/>
        <c:dispUnits/>
        <c:majorUnit val="5"/>
      </c:valAx>
      <c:valAx>
        <c:axId val="309730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8354535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Angle palonnier / Angle gouverne</a:t>
            </a:r>
          </a:p>
        </c:rich>
      </c:tx>
      <c:layout>
        <c:manualLayout>
          <c:xMode val="factor"/>
          <c:yMode val="factor"/>
          <c:x val="0.007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1"/>
          <c:h val="0.94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Calc_Tringle!$G$35:$G$51</c:f>
              <c:numCache>
                <c:ptCount val="17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</c:numCache>
            </c:numRef>
          </c:xVal>
          <c:yVal>
            <c:numRef>
              <c:f>Calc_Tringle!$H$35:$H$51</c:f>
              <c:numCache>
                <c:ptCount val="17"/>
                <c:pt idx="0">
                  <c:v>-33.86588150296218</c:v>
                </c:pt>
                <c:pt idx="1">
                  <c:v>-29.162761647231143</c:v>
                </c:pt>
                <c:pt idx="2">
                  <c:v>-24.62495650875964</c:v>
                </c:pt>
                <c:pt idx="3">
                  <c:v>-20.22590647378658</c:v>
                </c:pt>
                <c:pt idx="4">
                  <c:v>-15.950546447045912</c:v>
                </c:pt>
                <c:pt idx="5">
                  <c:v>-11.791116550201256</c:v>
                </c:pt>
                <c:pt idx="6">
                  <c:v>-7.744929252268736</c:v>
                </c:pt>
                <c:pt idx="7">
                  <c:v>-3.8131292744556085</c:v>
                </c:pt>
                <c:pt idx="8">
                  <c:v>0</c:v>
                </c:pt>
                <c:pt idx="9">
                  <c:v>3.6874087118787253</c:v>
                </c:pt>
                <c:pt idx="10">
                  <c:v>7.239454176945769</c:v>
                </c:pt>
                <c:pt idx="11">
                  <c:v>10.643949619930542</c:v>
                </c:pt>
                <c:pt idx="12">
                  <c:v>13.886138484603595</c:v>
                </c:pt>
                <c:pt idx="13">
                  <c:v>16.948636161527347</c:v>
                </c:pt>
                <c:pt idx="14">
                  <c:v>19.811381469170954</c:v>
                </c:pt>
                <c:pt idx="15">
                  <c:v>22.451647096268076</c:v>
                </c:pt>
                <c:pt idx="16">
                  <c:v>24.844169276407534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Calc_Tringle!$I$34:$I$36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Calc_Tringle!$J$34:$J$36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10322337"/>
        <c:axId val="25792170"/>
      </c:scatterChart>
      <c:valAx>
        <c:axId val="10322337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792170"/>
        <c:crosses val="autoZero"/>
        <c:crossBetween val="midCat"/>
        <c:dispUnits/>
      </c:valAx>
      <c:valAx>
        <c:axId val="25792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3223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Calc_Gaine!$C$45:$C$48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60</c:v>
                </c:pt>
              </c:numCache>
            </c:numRef>
          </c:xVal>
          <c:yVal>
            <c:numRef>
              <c:f>Calc_Gaine!$D$45:$D$48</c:f>
              <c:numCache>
                <c:ptCount val="4"/>
                <c:pt idx="0">
                  <c:v>0</c:v>
                </c:pt>
                <c:pt idx="1">
                  <c:v>20</c:v>
                </c:pt>
                <c:pt idx="2">
                  <c:v>23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Calc_Gaine!$C$49:$C$52</c:f>
              <c:numCache>
                <c:ptCount val="4"/>
                <c:pt idx="0">
                  <c:v>0</c:v>
                </c:pt>
                <c:pt idx="1">
                  <c:v>12.855752193730787</c:v>
                </c:pt>
                <c:pt idx="2">
                  <c:v>60</c:v>
                </c:pt>
              </c:numCache>
            </c:numRef>
          </c:xVal>
          <c:yVal>
            <c:numRef>
              <c:f>Calc_Gaine!$D$49:$D$52</c:f>
              <c:numCache>
                <c:ptCount val="4"/>
                <c:pt idx="0">
                  <c:v>0</c:v>
                </c:pt>
                <c:pt idx="1">
                  <c:v>15.32088886237956</c:v>
                </c:pt>
                <c:pt idx="2">
                  <c:v>23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Calc_Gaine!$C$53:$C$57</c:f>
              <c:numCache>
                <c:ptCount val="5"/>
                <c:pt idx="0">
                  <c:v>0</c:v>
                </c:pt>
                <c:pt idx="1">
                  <c:v>-12.855752193730787</c:v>
                </c:pt>
                <c:pt idx="2">
                  <c:v>60</c:v>
                </c:pt>
                <c:pt idx="4">
                  <c:v>60</c:v>
                </c:pt>
              </c:numCache>
            </c:numRef>
          </c:xVal>
          <c:yVal>
            <c:numRef>
              <c:f>Calc_Gaine!$D$53:$D$57</c:f>
              <c:numCache>
                <c:ptCount val="5"/>
                <c:pt idx="0">
                  <c:v>0</c:v>
                </c:pt>
                <c:pt idx="1">
                  <c:v>15.32088886237956</c:v>
                </c:pt>
                <c:pt idx="2">
                  <c:v>23</c:v>
                </c:pt>
                <c:pt idx="4">
                  <c:v>23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Calc_Gaine!$F$45:$F$48</c:f>
              <c:numCache>
                <c:ptCount val="4"/>
                <c:pt idx="0">
                  <c:v>90</c:v>
                </c:pt>
                <c:pt idx="1">
                  <c:v>144</c:v>
                </c:pt>
                <c:pt idx="2">
                  <c:v>140</c:v>
                </c:pt>
                <c:pt idx="3">
                  <c:v>179.8477879236698</c:v>
                </c:pt>
              </c:numCache>
            </c:numRef>
          </c:xVal>
          <c:yVal>
            <c:numRef>
              <c:f>Calc_Gaine!$G$45:$G$48</c:f>
              <c:numCache>
                <c:ptCount val="4"/>
                <c:pt idx="0">
                  <c:v>12</c:v>
                </c:pt>
                <c:pt idx="1">
                  <c:v>19.595917942265423</c:v>
                </c:pt>
                <c:pt idx="2">
                  <c:v>0</c:v>
                </c:pt>
                <c:pt idx="3">
                  <c:v>-3.4862297099063264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Calc_Gaine!$F$49:$F$52</c:f>
              <c:numCache>
                <c:ptCount val="4"/>
                <c:pt idx="0">
                  <c:v>90</c:v>
                </c:pt>
                <c:pt idx="1">
                  <c:v>156.83032579095112</c:v>
                </c:pt>
                <c:pt idx="2">
                  <c:v>140</c:v>
                </c:pt>
                <c:pt idx="3">
                  <c:v>165.30084632291965</c:v>
                </c:pt>
              </c:numCache>
            </c:numRef>
          </c:xVal>
          <c:yVal>
            <c:numRef>
              <c:f>Calc_Gaine!$G$49:$G$52</c:f>
              <c:numCache>
                <c:ptCount val="4"/>
                <c:pt idx="0">
                  <c:v>12</c:v>
                </c:pt>
                <c:pt idx="1">
                  <c:v>10.80463482818578</c:v>
                </c:pt>
                <c:pt idx="2">
                  <c:v>0</c:v>
                </c:pt>
                <c:pt idx="3">
                  <c:v>-30.981723246843504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Calc_Gaine!$F$53:$F$56</c:f>
              <c:numCache>
                <c:ptCount val="4"/>
                <c:pt idx="0">
                  <c:v>90</c:v>
                </c:pt>
                <c:pt idx="1">
                  <c:v>130.93453184058345</c:v>
                </c:pt>
                <c:pt idx="2">
                  <c:v>140</c:v>
                </c:pt>
                <c:pt idx="3">
                  <c:v>173.3589557859665</c:v>
                </c:pt>
              </c:numCache>
            </c:numRef>
          </c:xVal>
          <c:yVal>
            <c:numRef>
              <c:f>Calc_Gaine!$G$53:$G$56</c:f>
              <c:numCache>
                <c:ptCount val="4"/>
                <c:pt idx="0">
                  <c:v>12</c:v>
                </c:pt>
                <c:pt idx="1">
                  <c:v>17.827430747323195</c:v>
                </c:pt>
                <c:pt idx="2">
                  <c:v>0</c:v>
                </c:pt>
                <c:pt idx="3">
                  <c:v>22.072155963338357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0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Calc_Gaine!$C$57:$C$58</c:f>
              <c:numCache>
                <c:ptCount val="2"/>
                <c:pt idx="0">
                  <c:v>60</c:v>
                </c:pt>
                <c:pt idx="1">
                  <c:v>90</c:v>
                </c:pt>
              </c:numCache>
            </c:numRef>
          </c:xVal>
          <c:yVal>
            <c:numRef>
              <c:f>Calc_Gaine!$D$57:$D$58</c:f>
              <c:numCache>
                <c:ptCount val="2"/>
                <c:pt idx="0">
                  <c:v>23</c:v>
                </c:pt>
                <c:pt idx="1">
                  <c:v>12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Calc_Gaine!$F$62:$F$63</c:f>
              <c:numCache>
                <c:ptCount val="2"/>
                <c:pt idx="0">
                  <c:v>154.90861623421753</c:v>
                </c:pt>
                <c:pt idx="1">
                  <c:v>0</c:v>
                </c:pt>
              </c:numCache>
            </c:numRef>
          </c:xVal>
          <c:yVal>
            <c:numRef>
              <c:f>Calc_Gaine!$G$62:$G$63</c:f>
              <c:numCache>
                <c:ptCount val="2"/>
                <c:pt idx="0">
                  <c:v>35.96955758473396</c:v>
                </c:pt>
                <c:pt idx="1">
                  <c:v>-35.96955758473396</c:v>
                </c:pt>
              </c:numCache>
            </c:numRef>
          </c:yVal>
          <c:smooth val="0"/>
        </c:ser>
        <c:axId val="30802939"/>
        <c:axId val="8790996"/>
      </c:scatterChart>
      <c:valAx>
        <c:axId val="308029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8790996"/>
        <c:crosses val="autoZero"/>
        <c:crossBetween val="midCat"/>
        <c:dispUnits/>
        <c:majorUnit val="5"/>
      </c:valAx>
      <c:valAx>
        <c:axId val="87909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0802939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Angle palonnier / Angle gouverne</a:t>
            </a:r>
          </a:p>
        </c:rich>
      </c:tx>
      <c:layout>
        <c:manualLayout>
          <c:xMode val="factor"/>
          <c:yMode val="factor"/>
          <c:x val="0.007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1"/>
          <c:h val="0.95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Calc_Gaine!$J$43:$J$59</c:f>
              <c:numCache>
                <c:ptCount val="17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</c:numCache>
            </c:numRef>
          </c:xVal>
          <c:yVal>
            <c:numRef>
              <c:f>Calc_Gaine!$K$43:$K$59</c:f>
              <c:numCache>
                <c:ptCount val="17"/>
                <c:pt idx="0">
                  <c:v>-45.763625086617694</c:v>
                </c:pt>
                <c:pt idx="1">
                  <c:v>-39.84875856738917</c:v>
                </c:pt>
                <c:pt idx="2">
                  <c:v>-33.91386069453834</c:v>
                </c:pt>
                <c:pt idx="3">
                  <c:v>-28.016115793901868</c:v>
                </c:pt>
                <c:pt idx="4">
                  <c:v>-22.192436008224547</c:v>
                </c:pt>
                <c:pt idx="5">
                  <c:v>-16.46667402425691</c:v>
                </c:pt>
                <c:pt idx="6">
                  <c:v>-10.853962689649352</c:v>
                </c:pt>
                <c:pt idx="7">
                  <c:v>-5.36343679153854</c:v>
                </c:pt>
                <c:pt idx="8">
                  <c:v>0</c:v>
                </c:pt>
                <c:pt idx="9">
                  <c:v>5.234500892705919</c:v>
                </c:pt>
                <c:pt idx="10">
                  <c:v>10.340488273558956</c:v>
                </c:pt>
                <c:pt idx="11">
                  <c:v>15.32013045912794</c:v>
                </c:pt>
                <c:pt idx="12">
                  <c:v>20.177008729502234</c:v>
                </c:pt>
                <c:pt idx="13">
                  <c:v>24.91593008193924</c:v>
                </c:pt>
                <c:pt idx="14">
                  <c:v>29.542861828370636</c:v>
                </c:pt>
                <c:pt idx="15">
                  <c:v>34.0649816881206</c:v>
                </c:pt>
                <c:pt idx="16">
                  <c:v>38.49085621036657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Calc_Gaine!$I$61:$I$63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Calc_Gaine!$J$61:$J$63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12010101"/>
        <c:axId val="40982046"/>
      </c:scatterChart>
      <c:valAx>
        <c:axId val="1201010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982046"/>
        <c:crossesAt val="0"/>
        <c:crossBetween val="midCat"/>
        <c:dispUnits/>
        <c:majorUnit val="10"/>
      </c:valAx>
      <c:valAx>
        <c:axId val="409820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010101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Calc_Cable!$C$39:$C$47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504</c:v>
                </c:pt>
                <c:pt idx="3">
                  <c:v>500</c:v>
                </c:pt>
                <c:pt idx="4">
                  <c:v>570</c:v>
                </c:pt>
                <c:pt idx="5">
                  <c:v>500</c:v>
                </c:pt>
                <c:pt idx="6">
                  <c:v>504</c:v>
                </c:pt>
                <c:pt idx="7">
                  <c:v>5</c:v>
                </c:pt>
                <c:pt idx="8">
                  <c:v>0</c:v>
                </c:pt>
              </c:numCache>
            </c:numRef>
          </c:xVal>
          <c:yVal>
            <c:numRef>
              <c:f>Calc_Cable!$D$39:$D$47</c:f>
              <c:numCache>
                <c:ptCount val="9"/>
                <c:pt idx="0">
                  <c:v>0</c:v>
                </c:pt>
                <c:pt idx="1">
                  <c:v>19.364916731037084</c:v>
                </c:pt>
                <c:pt idx="2">
                  <c:v>29.732137494637012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-29.732137494637012</c:v>
                </c:pt>
                <c:pt idx="7">
                  <c:v>-19.364916731037084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Calc_Cable!$C$48:$C$56</c:f>
              <c:numCache>
                <c:ptCount val="9"/>
                <c:pt idx="0">
                  <c:v>0</c:v>
                </c:pt>
                <c:pt idx="1">
                  <c:v>-8.617306321727307</c:v>
                </c:pt>
                <c:pt idx="2">
                  <c:v>490.38267037741264</c:v>
                </c:pt>
                <c:pt idx="3">
                  <c:v>500</c:v>
                </c:pt>
                <c:pt idx="4">
                  <c:v>562.7214727874258</c:v>
                </c:pt>
                <c:pt idx="5">
                  <c:v>500</c:v>
                </c:pt>
                <c:pt idx="6">
                  <c:v>516.7854979411503</c:v>
                </c:pt>
                <c:pt idx="7">
                  <c:v>16.27775075291709</c:v>
                </c:pt>
                <c:pt idx="8">
                  <c:v>0</c:v>
                </c:pt>
              </c:numCache>
            </c:numRef>
          </c:xVal>
          <c:yVal>
            <c:numRef>
              <c:f>Calc_Cable!$D$48:$D$56</c:f>
              <c:numCache>
                <c:ptCount val="9"/>
                <c:pt idx="0">
                  <c:v>0</c:v>
                </c:pt>
                <c:pt idx="1">
                  <c:v>18.04832490170538</c:v>
                </c:pt>
                <c:pt idx="2">
                  <c:v>28.416667132697032</c:v>
                </c:pt>
                <c:pt idx="3">
                  <c:v>0</c:v>
                </c:pt>
                <c:pt idx="4">
                  <c:v>31.080811626728952</c:v>
                </c:pt>
                <c:pt idx="5">
                  <c:v>0</c:v>
                </c:pt>
                <c:pt idx="6">
                  <c:v>-24.86457437535658</c:v>
                </c:pt>
                <c:pt idx="7">
                  <c:v>-11.620448804839988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Calc_Cable!$C$57:$C$65</c:f>
              <c:numCache>
                <c:ptCount val="9"/>
                <c:pt idx="0">
                  <c:v>0</c:v>
                </c:pt>
                <c:pt idx="1">
                  <c:v>-8.617306321727307</c:v>
                </c:pt>
                <c:pt idx="2">
                  <c:v>490.38267037741264</c:v>
                </c:pt>
                <c:pt idx="3">
                  <c:v>500</c:v>
                </c:pt>
                <c:pt idx="4">
                  <c:v>562.7214727874258</c:v>
                </c:pt>
                <c:pt idx="5">
                  <c:v>500</c:v>
                </c:pt>
                <c:pt idx="6">
                  <c:v>516.7854979411503</c:v>
                </c:pt>
                <c:pt idx="7">
                  <c:v>16.27775075291709</c:v>
                </c:pt>
                <c:pt idx="8">
                  <c:v>0</c:v>
                </c:pt>
              </c:numCache>
            </c:numRef>
          </c:xVal>
          <c:yVal>
            <c:numRef>
              <c:f>Calc_Cable!$D$57:$D$65</c:f>
              <c:numCache>
                <c:ptCount val="9"/>
                <c:pt idx="0">
                  <c:v>0</c:v>
                </c:pt>
                <c:pt idx="1">
                  <c:v>-18.04832490170538</c:v>
                </c:pt>
                <c:pt idx="2">
                  <c:v>-28.416667132697032</c:v>
                </c:pt>
                <c:pt idx="3">
                  <c:v>0</c:v>
                </c:pt>
                <c:pt idx="4">
                  <c:v>-31.080811626728952</c:v>
                </c:pt>
                <c:pt idx="5">
                  <c:v>0</c:v>
                </c:pt>
                <c:pt idx="6">
                  <c:v>24.86457437535658</c:v>
                </c:pt>
                <c:pt idx="7">
                  <c:v>11.620448804839988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'Câbles A-R'!$H$24:$H$25</c:f>
              <c:numCache/>
            </c:numRef>
          </c:xVal>
          <c:yVal>
            <c:numRef>
              <c:f>'Câbles A-R'!$I$24:$I$25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Calc_Cable!$C$69:$C$70</c:f>
              <c:numCache>
                <c:ptCount val="2"/>
                <c:pt idx="0">
                  <c:v>155.40405813364475</c:v>
                </c:pt>
                <c:pt idx="1">
                  <c:v>0</c:v>
                </c:pt>
              </c:numCache>
            </c:numRef>
          </c:xVal>
          <c:yVal>
            <c:numRef>
              <c:f>Calc_Cable!$D$69:$D$70</c:f>
              <c:numCache>
                <c:ptCount val="2"/>
                <c:pt idx="0">
                  <c:v>114</c:v>
                </c:pt>
                <c:pt idx="1">
                  <c:v>-114</c:v>
                </c:pt>
              </c:numCache>
            </c:numRef>
          </c:yVal>
          <c:smooth val="0"/>
        </c:ser>
        <c:axId val="33294095"/>
        <c:axId val="31211400"/>
      </c:scatterChart>
      <c:valAx>
        <c:axId val="33294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1211400"/>
        <c:crosses val="autoZero"/>
        <c:crossBetween val="midCat"/>
        <c:dispUnits/>
        <c:majorUnit val="5"/>
      </c:valAx>
      <c:valAx>
        <c:axId val="312114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3294095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Angle palonnier / Angle gouverne</a:t>
            </a:r>
          </a:p>
        </c:rich>
      </c:tx>
      <c:layout>
        <c:manualLayout>
          <c:xMode val="factor"/>
          <c:yMode val="factor"/>
          <c:x val="0.007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1"/>
          <c:h val="0.94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Calc_Cable!$H$38:$H$54</c:f>
              <c:numCache>
                <c:ptCount val="17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</c:numCache>
            </c:numRef>
          </c:xVal>
          <c:yVal>
            <c:numRef>
              <c:f>Calc_Cable!$I$38:$I$54</c:f>
              <c:numCache>
                <c:ptCount val="17"/>
                <c:pt idx="0">
                  <c:v>-26.360118205603776</c:v>
                </c:pt>
                <c:pt idx="1">
                  <c:v>-23.143450283173944</c:v>
                </c:pt>
                <c:pt idx="2">
                  <c:v>-19.87419625051312</c:v>
                </c:pt>
                <c:pt idx="3">
                  <c:v>-16.56827780620562</c:v>
                </c:pt>
                <c:pt idx="4">
                  <c:v>-13.240691678186723</c:v>
                </c:pt>
                <c:pt idx="5">
                  <c:v>-9.905848406412156</c:v>
                </c:pt>
                <c:pt idx="6">
                  <c:v>-6.577903039847135</c:v>
                </c:pt>
                <c:pt idx="7">
                  <c:v>-3.2710805417029727</c:v>
                </c:pt>
                <c:pt idx="8">
                  <c:v>0</c:v>
                </c:pt>
                <c:pt idx="9">
                  <c:v>3.2710805417029727</c:v>
                </c:pt>
                <c:pt idx="10">
                  <c:v>6.577903039847135</c:v>
                </c:pt>
                <c:pt idx="11">
                  <c:v>9.905848406412156</c:v>
                </c:pt>
                <c:pt idx="12">
                  <c:v>13.240691678186723</c:v>
                </c:pt>
                <c:pt idx="13">
                  <c:v>16.56827780620562</c:v>
                </c:pt>
                <c:pt idx="14">
                  <c:v>19.87419625051312</c:v>
                </c:pt>
                <c:pt idx="15">
                  <c:v>23.143450283173944</c:v>
                </c:pt>
                <c:pt idx="16">
                  <c:v>26.360118205603776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Calc_Cable!$H$56:$H$58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Calc_Cable!$I$56:$I$58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12467145"/>
        <c:axId val="45095442"/>
      </c:scatterChart>
      <c:valAx>
        <c:axId val="1246714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095442"/>
        <c:crossesAt val="0"/>
        <c:crossBetween val="midCat"/>
        <c:dispUnits/>
        <c:majorUnit val="10"/>
      </c:valAx>
      <c:valAx>
        <c:axId val="4509544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467145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Relationship Id="rId3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152400" y="3705225"/>
        <a:ext cx="6257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171450</xdr:colOff>
      <xdr:row>3</xdr:row>
      <xdr:rowOff>9525</xdr:rowOff>
    </xdr:from>
    <xdr:to>
      <xdr:col>16</xdr:col>
      <xdr:colOff>752475</xdr:colOff>
      <xdr:row>15</xdr:row>
      <xdr:rowOff>47625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638175"/>
          <a:ext cx="5915025" cy="19812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180975</xdr:colOff>
      <xdr:row>16</xdr:row>
      <xdr:rowOff>0</xdr:rowOff>
    </xdr:from>
    <xdr:to>
      <xdr:col>17</xdr:col>
      <xdr:colOff>0</xdr:colOff>
      <xdr:row>37</xdr:row>
      <xdr:rowOff>0</xdr:rowOff>
    </xdr:to>
    <xdr:graphicFrame>
      <xdr:nvGraphicFramePr>
        <xdr:cNvPr id="3" name="Chart 11"/>
        <xdr:cNvGraphicFramePr/>
      </xdr:nvGraphicFramePr>
      <xdr:xfrm>
        <a:off x="6591300" y="2733675"/>
        <a:ext cx="43910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52400" y="3705225"/>
        <a:ext cx="6257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428625</xdr:colOff>
      <xdr:row>3</xdr:row>
      <xdr:rowOff>0</xdr:rowOff>
    </xdr:from>
    <xdr:to>
      <xdr:col>17</xdr:col>
      <xdr:colOff>0</xdr:colOff>
      <xdr:row>12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628650"/>
          <a:ext cx="7429500" cy="1609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180975</xdr:colOff>
      <xdr:row>16</xdr:row>
      <xdr:rowOff>0</xdr:rowOff>
    </xdr:from>
    <xdr:to>
      <xdr:col>17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6591300" y="2733675"/>
        <a:ext cx="43910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52400" y="3705225"/>
        <a:ext cx="6257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333375</xdr:colOff>
      <xdr:row>3</xdr:row>
      <xdr:rowOff>9525</xdr:rowOff>
    </xdr:from>
    <xdr:to>
      <xdr:col>17</xdr:col>
      <xdr:colOff>0</xdr:colOff>
      <xdr:row>14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638175"/>
          <a:ext cx="6762750" cy="18192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180975</xdr:colOff>
      <xdr:row>16</xdr:row>
      <xdr:rowOff>0</xdr:rowOff>
    </xdr:from>
    <xdr:to>
      <xdr:col>17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6591300" y="2733675"/>
        <a:ext cx="43910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12</xdr:row>
      <xdr:rowOff>76200</xdr:rowOff>
    </xdr:from>
    <xdr:to>
      <xdr:col>10</xdr:col>
      <xdr:colOff>476250</xdr:colOff>
      <xdr:row>24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2085975"/>
          <a:ext cx="2390775" cy="1971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enaudiltis@yahoo.fr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Q39"/>
  <sheetViews>
    <sheetView showGridLines="0" showRowColHeaders="0" tabSelected="1" zoomScale="75" zoomScaleNormal="75" workbookViewId="0" topLeftCell="A1">
      <selection activeCell="K15" sqref="K15"/>
    </sheetView>
  </sheetViews>
  <sheetFormatPr defaultColWidth="11.421875" defaultRowHeight="12.75"/>
  <cols>
    <col min="1" max="1" width="2.28125" style="2" customWidth="1"/>
    <col min="2" max="2" width="24.7109375" style="2" customWidth="1"/>
    <col min="3" max="4" width="6.28125" style="2" customWidth="1"/>
    <col min="5" max="5" width="4.7109375" style="2" customWidth="1"/>
    <col min="6" max="6" width="2.57421875" style="2" customWidth="1"/>
    <col min="7" max="7" width="11.421875" style="2" customWidth="1"/>
    <col min="8" max="8" width="5.57421875" style="2" customWidth="1"/>
    <col min="9" max="9" width="9.421875" style="2" customWidth="1"/>
    <col min="10" max="16384" width="11.421875" style="2" customWidth="1"/>
  </cols>
  <sheetData>
    <row r="2" spans="2:17" ht="24" customHeight="1">
      <c r="B2" s="82" t="s">
        <v>122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s="48" customFormat="1" ht="12.75" customHeight="1" thickBo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2:9" ht="12.75" customHeight="1">
      <c r="B4" s="18" t="s">
        <v>183</v>
      </c>
      <c r="C4" s="4"/>
      <c r="D4" s="4"/>
      <c r="E4" s="5"/>
      <c r="G4" s="79" t="s">
        <v>143</v>
      </c>
      <c r="H4" s="4"/>
      <c r="I4" s="43">
        <f>IF(H5=1,"Dessus","")</f>
      </c>
    </row>
    <row r="5" spans="2:11" ht="12.75" customHeight="1">
      <c r="B5" s="6" t="s">
        <v>109</v>
      </c>
      <c r="C5" s="20" t="s">
        <v>111</v>
      </c>
      <c r="D5" s="41">
        <v>100</v>
      </c>
      <c r="E5" s="16" t="s">
        <v>120</v>
      </c>
      <c r="G5" s="80"/>
      <c r="H5" s="7">
        <v>0</v>
      </c>
      <c r="I5" s="44" t="str">
        <f>IF(H5=0,"Dessous","")</f>
        <v>Dessous</v>
      </c>
      <c r="K5"/>
    </row>
    <row r="6" spans="2:9" ht="12.75" customHeight="1">
      <c r="B6" s="6" t="s">
        <v>110</v>
      </c>
      <c r="C6" s="20" t="s">
        <v>112</v>
      </c>
      <c r="D6" s="41">
        <v>5</v>
      </c>
      <c r="E6" s="16" t="s">
        <v>120</v>
      </c>
      <c r="G6" s="6"/>
      <c r="H6" s="7"/>
      <c r="I6" s="44"/>
    </row>
    <row r="7" spans="2:9" ht="12.75" customHeight="1">
      <c r="B7" s="6" t="s">
        <v>1</v>
      </c>
      <c r="C7" s="20" t="s">
        <v>114</v>
      </c>
      <c r="D7" s="41">
        <v>15</v>
      </c>
      <c r="E7" s="16" t="s">
        <v>120</v>
      </c>
      <c r="G7" s="80" t="s">
        <v>144</v>
      </c>
      <c r="H7" s="7"/>
      <c r="I7" s="44">
        <f>IF(H8=1,"Dessus","")</f>
      </c>
    </row>
    <row r="8" spans="2:9" ht="12.75" customHeight="1" thickBot="1">
      <c r="B8" s="6" t="s">
        <v>0</v>
      </c>
      <c r="C8" s="20" t="s">
        <v>115</v>
      </c>
      <c r="D8" s="41">
        <v>3</v>
      </c>
      <c r="E8" s="16" t="s">
        <v>120</v>
      </c>
      <c r="G8" s="81"/>
      <c r="H8" s="9">
        <v>0</v>
      </c>
      <c r="I8" s="45" t="str">
        <f>IF(H8=0,"Dessous","")</f>
        <v>Dessous</v>
      </c>
    </row>
    <row r="9" spans="2:5" ht="12.75" customHeight="1">
      <c r="B9" s="6" t="s">
        <v>2</v>
      </c>
      <c r="C9" s="20" t="s">
        <v>116</v>
      </c>
      <c r="D9" s="41">
        <v>20</v>
      </c>
      <c r="E9" s="16" t="s">
        <v>120</v>
      </c>
    </row>
    <row r="10" spans="2:5" ht="12.75" customHeight="1">
      <c r="B10" s="6" t="s">
        <v>3</v>
      </c>
      <c r="C10" s="20" t="s">
        <v>117</v>
      </c>
      <c r="D10" s="41">
        <v>-4</v>
      </c>
      <c r="E10" s="16" t="s">
        <v>120</v>
      </c>
    </row>
    <row r="11" spans="2:5" ht="12.75" customHeight="1">
      <c r="B11" s="6" t="s">
        <v>145</v>
      </c>
      <c r="C11" s="20" t="s">
        <v>119</v>
      </c>
      <c r="D11" s="41">
        <v>40</v>
      </c>
      <c r="E11" s="16" t="s">
        <v>120</v>
      </c>
    </row>
    <row r="12" spans="2:5" ht="12.75" customHeight="1">
      <c r="B12" s="6" t="s">
        <v>61</v>
      </c>
      <c r="C12" s="20" t="s">
        <v>113</v>
      </c>
      <c r="D12" s="41">
        <v>0</v>
      </c>
      <c r="E12" s="16" t="s">
        <v>121</v>
      </c>
    </row>
    <row r="13" spans="2:5" ht="12.75" customHeight="1" thickBot="1">
      <c r="B13" s="8" t="s">
        <v>108</v>
      </c>
      <c r="C13" s="21" t="s">
        <v>118</v>
      </c>
      <c r="D13" s="42">
        <v>40</v>
      </c>
      <c r="E13" s="19" t="s">
        <v>121</v>
      </c>
    </row>
    <row r="14" ht="12.75" customHeight="1"/>
    <row r="15" ht="12.75" customHeight="1" thickBot="1"/>
    <row r="16" spans="2:5" ht="12.75" customHeight="1">
      <c r="B16" s="18" t="s">
        <v>123</v>
      </c>
      <c r="C16" s="4"/>
      <c r="D16" s="4"/>
      <c r="E16" s="5"/>
    </row>
    <row r="17" spans="2:5" ht="12.75" customHeight="1">
      <c r="B17" s="6" t="s">
        <v>146</v>
      </c>
      <c r="C17" s="7"/>
      <c r="D17" s="67">
        <f>Calc_Tringle!D12</f>
        <v>93.00005486635122</v>
      </c>
      <c r="E17" s="68" t="s">
        <v>120</v>
      </c>
    </row>
    <row r="18" spans="2:5" ht="12.75" customHeight="1">
      <c r="B18" s="6" t="s">
        <v>126</v>
      </c>
      <c r="C18" s="7"/>
      <c r="D18" s="67">
        <f>IF(Calc_Tringle!I6=-1,Calc_Tringle!D29,Calc_Tringle!I29)</f>
        <v>24.844169276407534</v>
      </c>
      <c r="E18" s="69" t="s">
        <v>121</v>
      </c>
    </row>
    <row r="19" spans="2:5" ht="12.75" customHeight="1">
      <c r="B19" s="6" t="s">
        <v>127</v>
      </c>
      <c r="C19" s="7"/>
      <c r="D19" s="67">
        <f>IF(Calc_Tringle!I6=-1,Calc_Tringle!I29,Calc_Tringle!D29)</f>
        <v>-33.86588150296218</v>
      </c>
      <c r="E19" s="69" t="s">
        <v>121</v>
      </c>
    </row>
    <row r="20" spans="2:5" ht="12.75" customHeight="1">
      <c r="B20" s="6" t="s">
        <v>128</v>
      </c>
      <c r="C20" s="7"/>
      <c r="D20" s="67">
        <f>IF(Calc_Tringle!I6=-1,Calc_Tringle!D30,Calc_Tringle!I30)</f>
        <v>17.208941535565764</v>
      </c>
      <c r="E20" s="69" t="s">
        <v>120</v>
      </c>
    </row>
    <row r="21" spans="2:13" ht="12.75" customHeight="1" thickBot="1">
      <c r="B21" s="8" t="s">
        <v>129</v>
      </c>
      <c r="C21" s="9"/>
      <c r="D21" s="70">
        <f>IF(Calc_Tringle!I6=-1,Calc_Tringle!I30,Calc_Tringle!D30)</f>
        <v>23.300179293087943</v>
      </c>
      <c r="E21" s="71" t="s">
        <v>120</v>
      </c>
      <c r="F21" s="7"/>
      <c r="H21" s="7"/>
      <c r="I21" s="7"/>
      <c r="M21" s="12"/>
    </row>
    <row r="22" spans="7:9" ht="12.75" customHeight="1">
      <c r="G22" s="7"/>
      <c r="H22" s="7"/>
      <c r="I22" s="7"/>
    </row>
    <row r="23" spans="7:9" ht="12.75" customHeight="1">
      <c r="G23" s="7"/>
      <c r="H23" s="7"/>
      <c r="I23" s="7"/>
    </row>
    <row r="24" spans="7:9" ht="12.75" customHeight="1">
      <c r="G24" s="7"/>
      <c r="H24" s="7"/>
      <c r="I24" s="7"/>
    </row>
    <row r="25" spans="7:12" ht="12.75" customHeight="1">
      <c r="G25" s="7"/>
      <c r="H25" s="7"/>
      <c r="I25" s="7"/>
      <c r="L25" s="1"/>
    </row>
    <row r="26" spans="7:12" ht="12.75" customHeight="1">
      <c r="G26" s="7"/>
      <c r="H26" s="7"/>
      <c r="I26" s="7"/>
      <c r="L26" s="1"/>
    </row>
    <row r="27" ht="12.75" customHeight="1">
      <c r="L27" s="1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9" ht="12.75">
      <c r="L39" s="1"/>
    </row>
  </sheetData>
  <sheetProtection/>
  <mergeCells count="3">
    <mergeCell ref="G4:G5"/>
    <mergeCell ref="G7:G8"/>
    <mergeCell ref="B2:Q2"/>
  </mergeCells>
  <printOptions/>
  <pageMargins left="0.75" right="0.75" top="1" bottom="1" header="0.4921259845" footer="0.4921259845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R24"/>
  <sheetViews>
    <sheetView showGridLines="0" showRowColHeaders="0" zoomScale="75" zoomScaleNormal="75" workbookViewId="0" topLeftCell="A1">
      <selection activeCell="J12" sqref="J12"/>
    </sheetView>
  </sheetViews>
  <sheetFormatPr defaultColWidth="11.421875" defaultRowHeight="12.75"/>
  <cols>
    <col min="1" max="1" width="2.28125" style="2" customWidth="1"/>
    <col min="2" max="2" width="24.7109375" style="2" customWidth="1"/>
    <col min="3" max="4" width="6.28125" style="2" customWidth="1"/>
    <col min="5" max="5" width="4.7109375" style="2" customWidth="1"/>
    <col min="6" max="6" width="2.57421875" style="2" customWidth="1"/>
    <col min="7" max="7" width="11.421875" style="2" customWidth="1"/>
    <col min="8" max="8" width="5.57421875" style="2" customWidth="1"/>
    <col min="9" max="9" width="9.421875" style="2" customWidth="1"/>
    <col min="10" max="16384" width="11.421875" style="2" customWidth="1"/>
  </cols>
  <sheetData>
    <row r="2" spans="2:18" ht="24" customHeight="1">
      <c r="B2" s="83" t="s">
        <v>134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22"/>
    </row>
    <row r="3" spans="1:18" s="48" customFormat="1" ht="12.75" customHeight="1" thickBot="1">
      <c r="A3" s="22"/>
      <c r="B3" s="47"/>
      <c r="C3" s="47"/>
      <c r="D3" s="47"/>
      <c r="E3" s="47"/>
      <c r="F3" s="47"/>
      <c r="G3" s="61"/>
      <c r="H3" s="61"/>
      <c r="I3" s="47"/>
      <c r="J3" s="47"/>
      <c r="K3" s="47"/>
      <c r="L3" s="47"/>
      <c r="M3" s="47"/>
      <c r="N3" s="47"/>
      <c r="O3" s="47"/>
      <c r="P3" s="47"/>
      <c r="Q3" s="47"/>
      <c r="R3" s="22"/>
    </row>
    <row r="4" spans="2:5" ht="12.75" customHeight="1">
      <c r="B4" s="18" t="s">
        <v>183</v>
      </c>
      <c r="C4" s="4"/>
      <c r="D4" s="4"/>
      <c r="E4" s="5"/>
    </row>
    <row r="5" spans="2:5" ht="12.75" customHeight="1">
      <c r="B5" s="6" t="s">
        <v>139</v>
      </c>
      <c r="C5" s="20" t="s">
        <v>130</v>
      </c>
      <c r="D5" s="65">
        <v>60</v>
      </c>
      <c r="E5" s="16" t="s">
        <v>120</v>
      </c>
    </row>
    <row r="6" spans="2:5" ht="12.75" customHeight="1">
      <c r="B6" s="6" t="s">
        <v>140</v>
      </c>
      <c r="C6" s="20" t="s">
        <v>131</v>
      </c>
      <c r="D6" s="65">
        <v>23</v>
      </c>
      <c r="E6" s="16" t="s">
        <v>120</v>
      </c>
    </row>
    <row r="7" spans="2:5" ht="12.75" customHeight="1">
      <c r="B7" s="6" t="s">
        <v>1</v>
      </c>
      <c r="C7" s="20" t="s">
        <v>114</v>
      </c>
      <c r="D7" s="65">
        <v>20</v>
      </c>
      <c r="E7" s="16" t="s">
        <v>120</v>
      </c>
    </row>
    <row r="8" spans="2:5" ht="12.75" customHeight="1">
      <c r="B8" s="6" t="s">
        <v>0</v>
      </c>
      <c r="C8" s="20" t="s">
        <v>115</v>
      </c>
      <c r="D8" s="65">
        <v>0</v>
      </c>
      <c r="E8" s="16" t="s">
        <v>120</v>
      </c>
    </row>
    <row r="9" spans="2:5" ht="12.75" customHeight="1">
      <c r="B9" s="6" t="s">
        <v>141</v>
      </c>
      <c r="C9" s="20" t="s">
        <v>132</v>
      </c>
      <c r="D9" s="65">
        <v>50</v>
      </c>
      <c r="E9" s="16" t="s">
        <v>120</v>
      </c>
    </row>
    <row r="10" spans="2:5" ht="12.75" customHeight="1">
      <c r="B10" s="6" t="s">
        <v>142</v>
      </c>
      <c r="C10" s="20" t="s">
        <v>133</v>
      </c>
      <c r="D10" s="65">
        <v>12</v>
      </c>
      <c r="E10" s="16" t="s">
        <v>120</v>
      </c>
    </row>
    <row r="11" spans="2:5" ht="12.75" customHeight="1">
      <c r="B11" s="6" t="s">
        <v>2</v>
      </c>
      <c r="C11" s="20" t="s">
        <v>116</v>
      </c>
      <c r="D11" s="65">
        <v>20</v>
      </c>
      <c r="E11" s="16" t="s">
        <v>120</v>
      </c>
    </row>
    <row r="12" spans="2:13" ht="12.75" customHeight="1">
      <c r="B12" s="6" t="s">
        <v>3</v>
      </c>
      <c r="C12" s="20" t="s">
        <v>117</v>
      </c>
      <c r="D12" s="65">
        <v>4</v>
      </c>
      <c r="E12" s="16" t="s">
        <v>120</v>
      </c>
      <c r="F12" s="7"/>
      <c r="G12" s="7"/>
      <c r="H12" s="7"/>
      <c r="I12" s="7"/>
      <c r="J12" s="7"/>
      <c r="K12" s="7"/>
      <c r="L12" s="7"/>
      <c r="M12" s="7"/>
    </row>
    <row r="13" spans="2:13" ht="12.75" customHeight="1">
      <c r="B13" s="6" t="s">
        <v>26</v>
      </c>
      <c r="C13" s="20" t="s">
        <v>119</v>
      </c>
      <c r="D13" s="65">
        <v>40</v>
      </c>
      <c r="E13" s="16" t="s">
        <v>120</v>
      </c>
      <c r="F13" s="7"/>
      <c r="G13" s="7"/>
      <c r="H13" s="7"/>
      <c r="I13" s="7"/>
      <c r="J13" s="7"/>
      <c r="K13" s="7"/>
      <c r="L13" s="7"/>
      <c r="M13" s="7"/>
    </row>
    <row r="14" spans="2:5" ht="12.75" customHeight="1">
      <c r="B14" s="6" t="s">
        <v>61</v>
      </c>
      <c r="C14" s="20" t="s">
        <v>113</v>
      </c>
      <c r="D14" s="65">
        <v>-5</v>
      </c>
      <c r="E14" s="16" t="s">
        <v>121</v>
      </c>
    </row>
    <row r="15" spans="2:5" ht="12.75" customHeight="1" thickBot="1">
      <c r="B15" s="8" t="s">
        <v>108</v>
      </c>
      <c r="C15" s="21" t="s">
        <v>118</v>
      </c>
      <c r="D15" s="66">
        <v>40</v>
      </c>
      <c r="E15" s="19" t="s">
        <v>121</v>
      </c>
    </row>
    <row r="16" ht="12.75" customHeight="1" thickBot="1"/>
    <row r="17" spans="2:5" ht="12.75" customHeight="1">
      <c r="B17" s="18" t="s">
        <v>123</v>
      </c>
      <c r="C17" s="4"/>
      <c r="D17" s="4"/>
      <c r="E17" s="5"/>
    </row>
    <row r="18" spans="2:5" ht="12.75" customHeight="1">
      <c r="B18" s="6" t="s">
        <v>126</v>
      </c>
      <c r="C18" s="7"/>
      <c r="D18" s="72">
        <f>Calc_Gaine!I39</f>
        <v>38.49085621036657</v>
      </c>
      <c r="E18" s="73" t="s">
        <v>121</v>
      </c>
    </row>
    <row r="19" spans="2:9" ht="12.75" customHeight="1">
      <c r="B19" s="6" t="s">
        <v>127</v>
      </c>
      <c r="C19" s="7"/>
      <c r="D19" s="72">
        <f>Calc_Gaine!D39</f>
        <v>-45.763625086617694</v>
      </c>
      <c r="E19" s="73" t="s">
        <v>121</v>
      </c>
      <c r="F19" s="7"/>
      <c r="H19" s="7"/>
      <c r="I19" s="7"/>
    </row>
    <row r="20" spans="2:13" ht="12.75" customHeight="1">
      <c r="B20" s="6" t="s">
        <v>128</v>
      </c>
      <c r="C20" s="7"/>
      <c r="D20" s="72">
        <f>Calc_Gaine!I40</f>
        <v>26.36922487927187</v>
      </c>
      <c r="E20" s="73" t="s">
        <v>120</v>
      </c>
      <c r="F20" s="7"/>
      <c r="H20" s="7"/>
      <c r="I20" s="7"/>
      <c r="M20" s="12"/>
    </row>
    <row r="21" spans="2:7" ht="12.75" customHeight="1" thickBot="1">
      <c r="B21" s="8" t="s">
        <v>129</v>
      </c>
      <c r="C21" s="9"/>
      <c r="D21" s="74">
        <f>Calc_Gaine!D40</f>
        <v>31.106521418753815</v>
      </c>
      <c r="E21" s="75" t="s">
        <v>120</v>
      </c>
      <c r="F21" s="7"/>
      <c r="G21" s="7"/>
    </row>
    <row r="22" spans="5:9" ht="12.75" customHeight="1">
      <c r="E22" s="7"/>
      <c r="F22" s="7"/>
      <c r="G22" s="7"/>
      <c r="H22" s="7"/>
      <c r="I22" s="7"/>
    </row>
    <row r="23" spans="5:9" ht="12.75" customHeight="1">
      <c r="E23" s="7"/>
      <c r="F23" s="7"/>
      <c r="G23" s="7"/>
      <c r="H23" s="7"/>
      <c r="I23" s="7"/>
    </row>
    <row r="24" spans="5:9" ht="12.75" customHeight="1">
      <c r="E24" s="7"/>
      <c r="F24" s="7"/>
      <c r="G24" s="7"/>
      <c r="H24" s="7"/>
      <c r="I24" s="7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mergeCells count="1">
    <mergeCell ref="B2:Q2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2:Q25"/>
  <sheetViews>
    <sheetView showGridLines="0" showRowColHeaders="0" zoomScale="75" zoomScaleNormal="75" workbookViewId="0" topLeftCell="A1">
      <selection activeCell="J13" sqref="J13"/>
    </sheetView>
  </sheetViews>
  <sheetFormatPr defaultColWidth="11.421875" defaultRowHeight="12.75"/>
  <cols>
    <col min="1" max="1" width="2.28125" style="2" customWidth="1"/>
    <col min="2" max="2" width="24.7109375" style="2" customWidth="1"/>
    <col min="3" max="3" width="6.28125" style="2" customWidth="1"/>
    <col min="4" max="4" width="6.28125" style="48" customWidth="1"/>
    <col min="5" max="5" width="4.7109375" style="2" customWidth="1"/>
    <col min="6" max="6" width="2.57421875" style="2" customWidth="1"/>
    <col min="7" max="7" width="11.421875" style="2" customWidth="1"/>
    <col min="8" max="8" width="5.57421875" style="2" customWidth="1"/>
    <col min="9" max="9" width="9.421875" style="2" customWidth="1"/>
    <col min="10" max="16384" width="11.421875" style="2" customWidth="1"/>
  </cols>
  <sheetData>
    <row r="2" spans="2:17" ht="24" customHeight="1">
      <c r="B2" s="83" t="s">
        <v>135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s="48" customFormat="1" ht="12.75" customHeight="1" thickBot="1">
      <c r="A3" s="22"/>
      <c r="B3" s="22"/>
      <c r="C3" s="22"/>
      <c r="D3" s="22"/>
      <c r="E3" s="22"/>
      <c r="F3" s="22"/>
      <c r="G3" s="6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2:5" ht="12.75" customHeight="1">
      <c r="B4" s="18" t="s">
        <v>183</v>
      </c>
      <c r="C4" s="4"/>
      <c r="D4" s="63"/>
      <c r="E4" s="5"/>
    </row>
    <row r="5" spans="2:5" ht="12.75" customHeight="1">
      <c r="B5" s="6" t="s">
        <v>109</v>
      </c>
      <c r="C5" s="20" t="s">
        <v>111</v>
      </c>
      <c r="D5" s="65">
        <v>500</v>
      </c>
      <c r="E5" s="16" t="s">
        <v>120</v>
      </c>
    </row>
    <row r="6" spans="2:5" ht="12.75" customHeight="1">
      <c r="B6" s="6" t="s">
        <v>1</v>
      </c>
      <c r="C6" s="20" t="s">
        <v>114</v>
      </c>
      <c r="D6" s="65">
        <v>20</v>
      </c>
      <c r="E6" s="16" t="s">
        <v>120</v>
      </c>
    </row>
    <row r="7" spans="2:5" ht="12.75" customHeight="1">
      <c r="B7" s="6" t="s">
        <v>0</v>
      </c>
      <c r="C7" s="20" t="s">
        <v>115</v>
      </c>
      <c r="D7" s="65">
        <v>5</v>
      </c>
      <c r="E7" s="16" t="s">
        <v>120</v>
      </c>
    </row>
    <row r="8" spans="2:5" ht="12.75" customHeight="1">
      <c r="B8" s="6" t="s">
        <v>2</v>
      </c>
      <c r="C8" s="20" t="s">
        <v>116</v>
      </c>
      <c r="D8" s="65">
        <v>30</v>
      </c>
      <c r="E8" s="16" t="s">
        <v>120</v>
      </c>
    </row>
    <row r="9" spans="2:5" ht="12.75" customHeight="1">
      <c r="B9" s="6" t="s">
        <v>3</v>
      </c>
      <c r="C9" s="20" t="s">
        <v>117</v>
      </c>
      <c r="D9" s="65">
        <v>4</v>
      </c>
      <c r="E9" s="16" t="s">
        <v>120</v>
      </c>
    </row>
    <row r="10" spans="2:5" ht="12.75" customHeight="1">
      <c r="B10" s="6" t="s">
        <v>26</v>
      </c>
      <c r="C10" s="20" t="s">
        <v>119</v>
      </c>
      <c r="D10" s="65">
        <v>70</v>
      </c>
      <c r="E10" s="16" t="s">
        <v>120</v>
      </c>
    </row>
    <row r="11" spans="2:5" ht="12.75" customHeight="1">
      <c r="B11" s="6" t="s">
        <v>61</v>
      </c>
      <c r="C11" s="20" t="s">
        <v>113</v>
      </c>
      <c r="D11" s="65">
        <v>0</v>
      </c>
      <c r="E11" s="16" t="s">
        <v>121</v>
      </c>
    </row>
    <row r="12" spans="2:5" ht="12.75" customHeight="1" thickBot="1">
      <c r="B12" s="8" t="s">
        <v>108</v>
      </c>
      <c r="C12" s="21" t="s">
        <v>118</v>
      </c>
      <c r="D12" s="66">
        <v>40</v>
      </c>
      <c r="E12" s="19" t="s">
        <v>121</v>
      </c>
    </row>
    <row r="13" spans="2:4" ht="12.75" customHeight="1" thickBot="1">
      <c r="B13" s="7"/>
      <c r="C13" s="7"/>
      <c r="D13" s="13"/>
    </row>
    <row r="14" spans="2:9" ht="12.75" customHeight="1">
      <c r="B14" s="18" t="s">
        <v>123</v>
      </c>
      <c r="C14" s="4"/>
      <c r="D14" s="63"/>
      <c r="E14" s="5"/>
      <c r="F14" s="7"/>
      <c r="G14" s="7"/>
      <c r="H14" s="7"/>
      <c r="I14" s="7"/>
    </row>
    <row r="15" spans="2:9" ht="12.75" customHeight="1">
      <c r="B15" s="6" t="s">
        <v>147</v>
      </c>
      <c r="C15" s="7"/>
      <c r="D15" s="72">
        <f>Calc_Cable!D17-Calc_Cable!D33</f>
        <v>-1.5752624062914151</v>
      </c>
      <c r="E15" s="76" t="s">
        <v>120</v>
      </c>
      <c r="F15" s="7"/>
      <c r="G15" s="7"/>
      <c r="H15" s="7"/>
      <c r="I15" s="7"/>
    </row>
    <row r="16" spans="2:9" ht="12.75" customHeight="1">
      <c r="B16" s="6" t="s">
        <v>136</v>
      </c>
      <c r="C16" s="7"/>
      <c r="D16" s="72">
        <f>DEGREES(Calc_Cable!I34)</f>
        <v>26.360118205603776</v>
      </c>
      <c r="E16" s="76" t="s">
        <v>121</v>
      </c>
      <c r="F16" s="7"/>
      <c r="G16" s="7"/>
      <c r="H16" s="7"/>
      <c r="I16" s="7"/>
    </row>
    <row r="17" spans="2:9" ht="12.75" customHeight="1" thickBot="1">
      <c r="B17" s="8" t="s">
        <v>137</v>
      </c>
      <c r="C17" s="9"/>
      <c r="D17" s="74">
        <f>Calc_Cable!I35</f>
        <v>31.92168243937642</v>
      </c>
      <c r="E17" s="77" t="s">
        <v>120</v>
      </c>
      <c r="F17" s="7"/>
      <c r="I17" s="7"/>
    </row>
    <row r="18" ht="12.75" customHeight="1"/>
    <row r="19" ht="12.75" customHeight="1"/>
    <row r="20" ht="12.75" customHeight="1"/>
    <row r="21" spans="4:13" ht="12.75" customHeight="1">
      <c r="D21" s="64"/>
      <c r="M21" s="12"/>
    </row>
    <row r="22" ht="12.75" customHeight="1"/>
    <row r="23" ht="12.75" customHeight="1"/>
    <row r="24" spans="4:9" ht="12.75" customHeight="1">
      <c r="D24" s="64"/>
      <c r="H24" s="2">
        <v>0</v>
      </c>
      <c r="I24" s="2">
        <f>(D5+D10)/6</f>
        <v>95</v>
      </c>
    </row>
    <row r="25" spans="4:9" ht="12.75" customHeight="1">
      <c r="D25" s="64"/>
      <c r="H25" s="2">
        <v>0</v>
      </c>
      <c r="I25" s="2">
        <f>-I24</f>
        <v>-95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mergeCells count="1">
    <mergeCell ref="B2:Q2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C2:P31"/>
  <sheetViews>
    <sheetView showGridLines="0" showRowColHeaders="0" zoomScale="85" zoomScaleNormal="85" workbookViewId="0" topLeftCell="B1">
      <selection activeCell="I20" sqref="I20"/>
    </sheetView>
  </sheetViews>
  <sheetFormatPr defaultColWidth="11.421875" defaultRowHeight="12.75"/>
  <cols>
    <col min="1" max="1" width="3.57421875" style="0" customWidth="1"/>
    <col min="2" max="2" width="2.7109375" style="0" customWidth="1"/>
  </cols>
  <sheetData>
    <row r="2" ht="18">
      <c r="C2" s="24" t="s">
        <v>184</v>
      </c>
    </row>
    <row r="4" ht="12.75">
      <c r="C4" t="s">
        <v>186</v>
      </c>
    </row>
    <row r="5" ht="12.75">
      <c r="C5" t="s">
        <v>138</v>
      </c>
    </row>
    <row r="7" ht="12.75">
      <c r="C7" t="s">
        <v>150</v>
      </c>
    </row>
    <row r="8" ht="12.75">
      <c r="C8" t="s">
        <v>151</v>
      </c>
    </row>
    <row r="9" ht="12.75">
      <c r="C9" s="23" t="s">
        <v>187</v>
      </c>
    </row>
    <row r="11" spans="3:16" ht="12.75"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3:16" ht="12.75">
      <c r="C12" s="78" t="s">
        <v>149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3:16" ht="12.75">
      <c r="C13" s="78" t="s">
        <v>148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3:16" ht="12.75"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3:16" ht="12.75"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3:16" ht="12.75"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3:16" ht="12.75"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3:16" ht="12.75"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3:16" ht="12.75"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3:16" ht="12.75"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3:16" ht="12.75"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3:16" ht="12.75"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3:16" ht="12.75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3:16" ht="12.75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3:16" ht="12.75"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3:16" ht="12.75">
      <c r="C26" s="78" t="s">
        <v>124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3:16" ht="12.75">
      <c r="C27" s="48" t="s">
        <v>125</v>
      </c>
      <c r="O27" s="78"/>
      <c r="P27" s="78"/>
    </row>
    <row r="28" spans="15:16" ht="12.75">
      <c r="O28" s="78"/>
      <c r="P28" s="78"/>
    </row>
    <row r="29" spans="3:16" ht="12.75">
      <c r="C29" t="s">
        <v>180</v>
      </c>
      <c r="O29" s="78"/>
      <c r="P29" s="78"/>
    </row>
    <row r="30" spans="3:16" ht="12.75">
      <c r="C30" t="s">
        <v>181</v>
      </c>
      <c r="O30" s="78"/>
      <c r="P30" s="78"/>
    </row>
    <row r="31" ht="12.75">
      <c r="C31" t="s">
        <v>182</v>
      </c>
    </row>
  </sheetData>
  <hyperlinks>
    <hyperlink ref="C9" r:id="rId1" display="renaudiltis@yahoo.fr"/>
  </hyperlinks>
  <printOptions/>
  <pageMargins left="0.75" right="0.75" top="1" bottom="1" header="0.4921259845" footer="0.4921259845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AQ57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3" max="5" width="11.57421875" style="0" bestFit="1" customWidth="1"/>
    <col min="7" max="10" width="11.57421875" style="0" bestFit="1" customWidth="1"/>
    <col min="12" max="12" width="7.57421875" style="0" bestFit="1" customWidth="1"/>
    <col min="13" max="13" width="7.00390625" style="0" bestFit="1" customWidth="1"/>
    <col min="14" max="14" width="6.8515625" style="0" bestFit="1" customWidth="1"/>
    <col min="15" max="15" width="7.00390625" style="0" bestFit="1" customWidth="1"/>
    <col min="16" max="16" width="7.57421875" style="0" bestFit="1" customWidth="1"/>
    <col min="17" max="17" width="7.00390625" style="0" bestFit="1" customWidth="1"/>
    <col min="18" max="18" width="7.28125" style="0" bestFit="1" customWidth="1"/>
    <col min="19" max="20" width="7.57421875" style="0" bestFit="1" customWidth="1"/>
    <col min="21" max="21" width="7.00390625" style="0" bestFit="1" customWidth="1"/>
    <col min="22" max="22" width="6.8515625" style="0" bestFit="1" customWidth="1"/>
    <col min="23" max="23" width="7.00390625" style="0" bestFit="1" customWidth="1"/>
    <col min="24" max="24" width="7.57421875" style="0" bestFit="1" customWidth="1"/>
    <col min="25" max="25" width="7.00390625" style="0" bestFit="1" customWidth="1"/>
    <col min="26" max="28" width="7.57421875" style="0" bestFit="1" customWidth="1"/>
    <col min="29" max="29" width="7.00390625" style="0" bestFit="1" customWidth="1"/>
    <col min="30" max="30" width="7.57421875" style="0" bestFit="1" customWidth="1"/>
    <col min="31" max="31" width="7.00390625" style="0" bestFit="1" customWidth="1"/>
    <col min="32" max="32" width="7.57421875" style="0" bestFit="1" customWidth="1"/>
    <col min="33" max="34" width="7.00390625" style="0" bestFit="1" customWidth="1"/>
    <col min="35" max="36" width="7.57421875" style="0" bestFit="1" customWidth="1"/>
    <col min="37" max="37" width="7.00390625" style="0" bestFit="1" customWidth="1"/>
    <col min="38" max="38" width="7.57421875" style="0" bestFit="1" customWidth="1"/>
    <col min="39" max="39" width="7.00390625" style="0" bestFit="1" customWidth="1"/>
    <col min="40" max="40" width="6.57421875" style="0" bestFit="1" customWidth="1"/>
    <col min="41" max="41" width="6.140625" style="0" bestFit="1" customWidth="1"/>
    <col min="42" max="43" width="6.57421875" style="0" bestFit="1" customWidth="1"/>
  </cols>
  <sheetData>
    <row r="1" spans="1:43" ht="13.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ht="12.75">
      <c r="A2" s="2"/>
      <c r="B2" s="1" t="s">
        <v>105</v>
      </c>
      <c r="C2" s="2"/>
      <c r="D2" s="2"/>
      <c r="E2" s="2"/>
      <c r="F2" s="2"/>
      <c r="G2" s="2"/>
      <c r="H2" s="2"/>
      <c r="I2" s="2"/>
      <c r="J2" s="2"/>
      <c r="K2" s="2"/>
      <c r="L2" s="84" t="s">
        <v>152</v>
      </c>
      <c r="M2" s="85"/>
      <c r="N2" s="85"/>
      <c r="O2" s="85"/>
      <c r="P2" s="84" t="s">
        <v>152</v>
      </c>
      <c r="Q2" s="85"/>
      <c r="R2" s="85"/>
      <c r="S2" s="85"/>
      <c r="T2" s="84" t="s">
        <v>152</v>
      </c>
      <c r="U2" s="85"/>
      <c r="V2" s="85"/>
      <c r="W2" s="85"/>
      <c r="X2" s="84" t="s">
        <v>152</v>
      </c>
      <c r="Y2" s="85"/>
      <c r="Z2" s="85"/>
      <c r="AA2" s="85"/>
      <c r="AB2" s="84" t="s">
        <v>152</v>
      </c>
      <c r="AC2" s="85"/>
      <c r="AD2" s="85"/>
      <c r="AE2" s="85"/>
      <c r="AF2" s="84" t="s">
        <v>152</v>
      </c>
      <c r="AG2" s="85"/>
      <c r="AH2" s="85"/>
      <c r="AI2" s="85"/>
      <c r="AJ2" s="84" t="s">
        <v>152</v>
      </c>
      <c r="AK2" s="85"/>
      <c r="AL2" s="85"/>
      <c r="AM2" s="85"/>
      <c r="AN2" s="84" t="s">
        <v>152</v>
      </c>
      <c r="AO2" s="85"/>
      <c r="AP2" s="85"/>
      <c r="AQ2" s="85"/>
    </row>
    <row r="3" spans="1:43" ht="12.75">
      <c r="A3" s="2"/>
      <c r="B3" s="2" t="s">
        <v>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39" ht="12.75">
      <c r="A4" s="2"/>
      <c r="B4" s="2"/>
      <c r="C4" s="2"/>
      <c r="D4" s="2" t="s">
        <v>5</v>
      </c>
      <c r="E4" s="2" t="s">
        <v>6</v>
      </c>
      <c r="F4" s="2"/>
      <c r="G4" s="2"/>
      <c r="H4" s="2"/>
      <c r="I4" s="2"/>
      <c r="J4" s="2"/>
      <c r="K4" s="2"/>
      <c r="L4" s="25" t="s">
        <v>5</v>
      </c>
      <c r="M4" s="17" t="s">
        <v>6</v>
      </c>
      <c r="N4" s="17"/>
      <c r="O4" s="31" t="s">
        <v>154</v>
      </c>
      <c r="P4" s="25" t="s">
        <v>5</v>
      </c>
      <c r="Q4" s="17" t="s">
        <v>6</v>
      </c>
      <c r="R4" s="17"/>
      <c r="S4" s="31" t="s">
        <v>155</v>
      </c>
      <c r="T4" s="25" t="s">
        <v>5</v>
      </c>
      <c r="U4" s="17" t="s">
        <v>6</v>
      </c>
      <c r="V4" s="17"/>
      <c r="W4" s="31" t="s">
        <v>156</v>
      </c>
      <c r="X4" s="25" t="s">
        <v>5</v>
      </c>
      <c r="Y4" s="17" t="s">
        <v>6</v>
      </c>
      <c r="Z4" s="17"/>
      <c r="AA4" s="31" t="s">
        <v>157</v>
      </c>
      <c r="AB4" s="25" t="s">
        <v>5</v>
      </c>
      <c r="AC4" s="17" t="s">
        <v>6</v>
      </c>
      <c r="AD4" s="17"/>
      <c r="AE4" s="31" t="s">
        <v>158</v>
      </c>
      <c r="AF4" s="25" t="s">
        <v>5</v>
      </c>
      <c r="AG4" s="17" t="s">
        <v>6</v>
      </c>
      <c r="AH4" s="17"/>
      <c r="AI4" s="31" t="s">
        <v>159</v>
      </c>
      <c r="AJ4" s="25" t="s">
        <v>5</v>
      </c>
      <c r="AK4" s="17" t="s">
        <v>6</v>
      </c>
      <c r="AL4" s="17"/>
      <c r="AM4" s="31" t="s">
        <v>160</v>
      </c>
    </row>
    <row r="5" spans="1:39" ht="12.75">
      <c r="A5" s="2"/>
      <c r="B5" s="2" t="s">
        <v>8</v>
      </c>
      <c r="C5" s="2"/>
      <c r="D5" s="2">
        <v>0</v>
      </c>
      <c r="E5" s="2">
        <v>0</v>
      </c>
      <c r="F5" s="2"/>
      <c r="G5" s="2" t="s">
        <v>106</v>
      </c>
      <c r="H5" s="2"/>
      <c r="I5" s="14">
        <f>IF(Tringle!$H$5=0,-1,1)</f>
        <v>-1</v>
      </c>
      <c r="J5" s="2"/>
      <c r="K5" s="2"/>
      <c r="L5" s="26">
        <v>0</v>
      </c>
      <c r="M5" s="7">
        <v>0</v>
      </c>
      <c r="N5" s="7"/>
      <c r="O5" s="27"/>
      <c r="P5" s="26">
        <v>0</v>
      </c>
      <c r="Q5" s="7">
        <v>0</v>
      </c>
      <c r="R5" s="7"/>
      <c r="S5" s="27"/>
      <c r="T5" s="26">
        <v>0</v>
      </c>
      <c r="U5" s="7">
        <v>0</v>
      </c>
      <c r="V5" s="7"/>
      <c r="W5" s="27"/>
      <c r="X5" s="26">
        <v>0</v>
      </c>
      <c r="Y5" s="7">
        <v>0</v>
      </c>
      <c r="Z5" s="7"/>
      <c r="AA5" s="27"/>
      <c r="AB5" s="26">
        <v>0</v>
      </c>
      <c r="AC5" s="7">
        <v>0</v>
      </c>
      <c r="AD5" s="7"/>
      <c r="AE5" s="27"/>
      <c r="AF5" s="26">
        <v>0</v>
      </c>
      <c r="AG5" s="7">
        <v>0</v>
      </c>
      <c r="AH5" s="7"/>
      <c r="AI5" s="27"/>
      <c r="AJ5" s="26">
        <v>0</v>
      </c>
      <c r="AK5" s="7">
        <v>0</v>
      </c>
      <c r="AL5" s="7"/>
      <c r="AM5" s="27"/>
    </row>
    <row r="6" spans="1:39" ht="12.75">
      <c r="A6" s="2"/>
      <c r="B6" s="2" t="s">
        <v>4</v>
      </c>
      <c r="C6" s="2"/>
      <c r="D6" s="2">
        <f>Tringle!$D8</f>
        <v>3</v>
      </c>
      <c r="E6" s="2">
        <f>$I$5*SQRT(Tringle!$D$7^2-Tringle!$D$8^2)</f>
        <v>-14.696938456699069</v>
      </c>
      <c r="F6" s="2"/>
      <c r="G6" s="2" t="s">
        <v>107</v>
      </c>
      <c r="H6" s="2"/>
      <c r="I6" s="14">
        <f>IF(Tringle!$H$8=0,-1,1)</f>
        <v>-1</v>
      </c>
      <c r="J6" s="2"/>
      <c r="K6" s="2"/>
      <c r="L6" s="26">
        <f>Tringle!$D$8</f>
        <v>3</v>
      </c>
      <c r="M6" s="7">
        <f>$I$5*SQRT(Tringle!$D$7^2-Tringle!$D$8^2)</f>
        <v>-14.696938456699069</v>
      </c>
      <c r="N6" s="7"/>
      <c r="O6" s="27"/>
      <c r="P6" s="26">
        <f>Tringle!$D8</f>
        <v>3</v>
      </c>
      <c r="Q6" s="7">
        <f>$I$5*SQRT(Tringle!$D$7^2-Tringle!$D$8^2)</f>
        <v>-14.696938456699069</v>
      </c>
      <c r="R6" s="7"/>
      <c r="S6" s="27"/>
      <c r="T6" s="26">
        <f>Tringle!$D8</f>
        <v>3</v>
      </c>
      <c r="U6" s="7">
        <f>$I$5*SQRT(Tringle!$D$7^2-Tringle!$D$8^2)</f>
        <v>-14.696938456699069</v>
      </c>
      <c r="V6" s="7"/>
      <c r="W6" s="27"/>
      <c r="X6" s="26">
        <f>Tringle!$D8</f>
        <v>3</v>
      </c>
      <c r="Y6" s="7">
        <f>$I$5*SQRT(Tringle!$D$7^2-Tringle!$D$8^2)</f>
        <v>-14.696938456699069</v>
      </c>
      <c r="Z6" s="7"/>
      <c r="AA6" s="27"/>
      <c r="AB6" s="26">
        <f>Tringle!$D8</f>
        <v>3</v>
      </c>
      <c r="AC6" s="7">
        <f>$I$5*SQRT(Tringle!$D$7^2-Tringle!$D$8^2)</f>
        <v>-14.696938456699069</v>
      </c>
      <c r="AD6" s="7"/>
      <c r="AE6" s="27"/>
      <c r="AF6" s="26">
        <f>Tringle!$D8</f>
        <v>3</v>
      </c>
      <c r="AG6" s="7">
        <f>$I$5*SQRT(Tringle!$D$7^2-Tringle!$D$8^2)</f>
        <v>-14.696938456699069</v>
      </c>
      <c r="AH6" s="7"/>
      <c r="AI6" s="27"/>
      <c r="AJ6" s="26">
        <f>Tringle!$D8</f>
        <v>3</v>
      </c>
      <c r="AK6" s="7">
        <f>$I$5*SQRT(Tringle!$D$7^2-Tringle!$D$8^2)</f>
        <v>-14.696938456699069</v>
      </c>
      <c r="AL6" s="7"/>
      <c r="AM6" s="27"/>
    </row>
    <row r="7" spans="1:39" ht="12.75">
      <c r="A7" s="2"/>
      <c r="B7" s="2" t="s">
        <v>7</v>
      </c>
      <c r="C7" s="2"/>
      <c r="D7" s="2">
        <f>Tringle!$D$5</f>
        <v>100</v>
      </c>
      <c r="E7" s="2">
        <f>Tringle!$D$6</f>
        <v>5</v>
      </c>
      <c r="F7" s="2"/>
      <c r="G7" s="2"/>
      <c r="H7" s="2"/>
      <c r="I7" s="2"/>
      <c r="J7" s="2"/>
      <c r="K7" s="2"/>
      <c r="L7" s="26">
        <f>Tringle!$D$5</f>
        <v>100</v>
      </c>
      <c r="M7" s="7">
        <f>Tringle!$D$6</f>
        <v>5</v>
      </c>
      <c r="N7" s="7"/>
      <c r="O7" s="27"/>
      <c r="P7" s="26">
        <f>Tringle!$D$5</f>
        <v>100</v>
      </c>
      <c r="Q7" s="7">
        <f>Tringle!$D$6</f>
        <v>5</v>
      </c>
      <c r="R7" s="7"/>
      <c r="S7" s="27"/>
      <c r="T7" s="26">
        <f>Tringle!$D$5</f>
        <v>100</v>
      </c>
      <c r="U7" s="7">
        <f>Tringle!$D$6</f>
        <v>5</v>
      </c>
      <c r="V7" s="7"/>
      <c r="W7" s="27"/>
      <c r="X7" s="26">
        <f>Tringle!$D$5</f>
        <v>100</v>
      </c>
      <c r="Y7" s="7">
        <f>Tringle!$D$6</f>
        <v>5</v>
      </c>
      <c r="Z7" s="7"/>
      <c r="AA7" s="27"/>
      <c r="AB7" s="26">
        <f>Tringle!$D$5</f>
        <v>100</v>
      </c>
      <c r="AC7" s="7">
        <f>Tringle!$D$6</f>
        <v>5</v>
      </c>
      <c r="AD7" s="7"/>
      <c r="AE7" s="27"/>
      <c r="AF7" s="26">
        <f>Tringle!$D$5</f>
        <v>100</v>
      </c>
      <c r="AG7" s="7">
        <f>Tringle!$D$6</f>
        <v>5</v>
      </c>
      <c r="AH7" s="7"/>
      <c r="AI7" s="27"/>
      <c r="AJ7" s="26">
        <f>Tringle!$D$5</f>
        <v>100</v>
      </c>
      <c r="AK7" s="7">
        <f>Tringle!$D$6</f>
        <v>5</v>
      </c>
      <c r="AL7" s="7"/>
      <c r="AM7" s="27"/>
    </row>
    <row r="8" spans="1:39" ht="12.75">
      <c r="A8" s="2"/>
      <c r="B8" s="2" t="s">
        <v>23</v>
      </c>
      <c r="C8" s="2"/>
      <c r="D8" s="2">
        <f>Tringle!$D$5+Tringle!$D$10</f>
        <v>96</v>
      </c>
      <c r="E8" s="2">
        <f>Tringle!$D$6+$I$6*SQRT(Tringle!$D$9^2-Tringle!$D$10^2)</f>
        <v>-14.595917942265423</v>
      </c>
      <c r="F8" s="2"/>
      <c r="G8" s="2"/>
      <c r="H8" s="2"/>
      <c r="I8" s="2"/>
      <c r="J8" s="2"/>
      <c r="K8" s="2"/>
      <c r="L8" s="26">
        <f>Tringle!$D$5+Tringle!$D$10</f>
        <v>96</v>
      </c>
      <c r="M8" s="7">
        <f>Tringle!$D$6+$I$6*SQRT(Tringle!$D$9^2-Tringle!$D$10^2)</f>
        <v>-14.595917942265423</v>
      </c>
      <c r="N8" s="7"/>
      <c r="O8" s="27"/>
      <c r="P8" s="26">
        <f>Tringle!$D$5+Tringle!$D$10</f>
        <v>96</v>
      </c>
      <c r="Q8" s="7">
        <f>Tringle!$D$6+$I$6*SQRT(Tringle!$D$9^2-Tringle!$D$10^2)</f>
        <v>-14.595917942265423</v>
      </c>
      <c r="R8" s="7"/>
      <c r="S8" s="27"/>
      <c r="T8" s="26">
        <f>Tringle!$D$5+Tringle!$D$10</f>
        <v>96</v>
      </c>
      <c r="U8" s="7">
        <f>Tringle!$D$6+$I$6*SQRT(Tringle!$D$9^2-Tringle!$D$10^2)</f>
        <v>-14.595917942265423</v>
      </c>
      <c r="V8" s="7"/>
      <c r="W8" s="27"/>
      <c r="X8" s="26">
        <f>Tringle!$D$5+Tringle!$D$10</f>
        <v>96</v>
      </c>
      <c r="Y8" s="7">
        <f>Tringle!$D$6+$I$6*SQRT(Tringle!$D$9^2-Tringle!$D$10^2)</f>
        <v>-14.595917942265423</v>
      </c>
      <c r="Z8" s="7"/>
      <c r="AA8" s="27"/>
      <c r="AB8" s="26">
        <f>Tringle!$D$5+Tringle!$D$10</f>
        <v>96</v>
      </c>
      <c r="AC8" s="7">
        <f>Tringle!$D$6+$I$6*SQRT(Tringle!$D$9^2-Tringle!$D$10^2)</f>
        <v>-14.595917942265423</v>
      </c>
      <c r="AD8" s="7"/>
      <c r="AE8" s="27"/>
      <c r="AF8" s="26">
        <f>Tringle!$D$5+Tringle!$D$10</f>
        <v>96</v>
      </c>
      <c r="AG8" s="7">
        <f>Tringle!$D$6+$I$6*SQRT(Tringle!$D$9^2-Tringle!$D$10^2)</f>
        <v>-14.595917942265423</v>
      </c>
      <c r="AH8" s="7"/>
      <c r="AI8" s="27"/>
      <c r="AJ8" s="26">
        <f>Tringle!$D$5+Tringle!$D$10</f>
        <v>96</v>
      </c>
      <c r="AK8" s="7">
        <f>Tringle!$D$6+$I$6*SQRT(Tringle!$D$9^2-Tringle!$D$10^2)</f>
        <v>-14.595917942265423</v>
      </c>
      <c r="AL8" s="7"/>
      <c r="AM8" s="27"/>
    </row>
    <row r="9" spans="1:39" ht="12.75">
      <c r="A9" s="2"/>
      <c r="B9" s="2" t="s">
        <v>38</v>
      </c>
      <c r="C9" s="2"/>
      <c r="D9" s="2">
        <f>D7+Tringle!$D$11*COS(RADIANS(Tringle!$D$12))</f>
        <v>140</v>
      </c>
      <c r="E9" s="2">
        <f>E7+Tringle!$D$11*SIN(RADIANS(Tringle!$D$12))</f>
        <v>5</v>
      </c>
      <c r="F9" s="2"/>
      <c r="G9" s="2"/>
      <c r="H9" s="2"/>
      <c r="I9" s="2"/>
      <c r="J9" s="2"/>
      <c r="K9" s="2"/>
      <c r="L9" s="26">
        <f>L7+Tringle!$D$11*COS(RADIANS(Tringle!$D$12))</f>
        <v>140</v>
      </c>
      <c r="M9" s="7">
        <f>M7+Tringle!$D$11*SIN(RADIANS(Tringle!$D$12))</f>
        <v>5</v>
      </c>
      <c r="N9" s="7"/>
      <c r="O9" s="27"/>
      <c r="P9" s="26">
        <f>P7+Tringle!$D$11*COS(RADIANS(Tringle!$D$12))</f>
        <v>140</v>
      </c>
      <c r="Q9" s="7">
        <f>Q7+Tringle!$D$11*SIN(RADIANS(Tringle!$D$12))</f>
        <v>5</v>
      </c>
      <c r="R9" s="7"/>
      <c r="S9" s="27"/>
      <c r="T9" s="26">
        <f>T7+Tringle!$D$11*COS(RADIANS(Tringle!$D$12))</f>
        <v>140</v>
      </c>
      <c r="U9" s="7">
        <f>U7+Tringle!$D$11*SIN(RADIANS(Tringle!$D$12))</f>
        <v>5</v>
      </c>
      <c r="V9" s="7"/>
      <c r="W9" s="27"/>
      <c r="X9" s="26">
        <f>X7+Tringle!$D$11*COS(RADIANS(Tringle!$D$12))</f>
        <v>140</v>
      </c>
      <c r="Y9" s="7">
        <f>Y7+Tringle!$D$11*SIN(RADIANS(Tringle!$D$12))</f>
        <v>5</v>
      </c>
      <c r="Z9" s="7"/>
      <c r="AA9" s="27"/>
      <c r="AB9" s="26">
        <f>AB7+Tringle!$D$11*COS(RADIANS(Tringle!$D$12))</f>
        <v>140</v>
      </c>
      <c r="AC9" s="7">
        <f>AC7+Tringle!$D$11*SIN(RADIANS(Tringle!$D$12))</f>
        <v>5</v>
      </c>
      <c r="AD9" s="7"/>
      <c r="AE9" s="27"/>
      <c r="AF9" s="26">
        <f>AF7+Tringle!$D$11*COS(RADIANS(Tringle!$D$12))</f>
        <v>140</v>
      </c>
      <c r="AG9" s="7">
        <f>AG7+Tringle!$D$11*SIN(RADIANS(Tringle!$D$12))</f>
        <v>5</v>
      </c>
      <c r="AH9" s="7"/>
      <c r="AI9" s="27"/>
      <c r="AJ9" s="26">
        <f>AJ7+Tringle!$D$11*COS(RADIANS(Tringle!$D$12))</f>
        <v>140</v>
      </c>
      <c r="AK9" s="7">
        <f>AK7+Tringle!$D$11*SIN(RADIANS(Tringle!$D$12))</f>
        <v>5</v>
      </c>
      <c r="AL9" s="7"/>
      <c r="AM9" s="27"/>
    </row>
    <row r="10" spans="1:39" ht="12.75">
      <c r="A10" s="2"/>
      <c r="B10" s="2" t="s">
        <v>10</v>
      </c>
      <c r="C10" s="2"/>
      <c r="D10" s="2">
        <f>ACOS(Tringle!$D$8/Tringle!$D$7)</f>
        <v>1.3694384060045657</v>
      </c>
      <c r="E10" s="2"/>
      <c r="F10" s="2"/>
      <c r="G10" s="7"/>
      <c r="H10" s="2"/>
      <c r="I10" s="2"/>
      <c r="J10" s="2"/>
      <c r="K10" s="2"/>
      <c r="L10" s="26">
        <f>ACOS(Tringle!$D$8/Tringle!$D$7)</f>
        <v>1.3694384060045657</v>
      </c>
      <c r="M10" s="7"/>
      <c r="N10" s="7"/>
      <c r="O10" s="27"/>
      <c r="P10" s="26">
        <f>ACOS(Tringle!$D$8/Tringle!$D$7)</f>
        <v>1.3694384060045657</v>
      </c>
      <c r="Q10" s="7"/>
      <c r="R10" s="7"/>
      <c r="S10" s="27"/>
      <c r="T10" s="26">
        <f>ACOS(Tringle!$D$8/Tringle!$D$7)</f>
        <v>1.3694384060045657</v>
      </c>
      <c r="U10" s="7"/>
      <c r="V10" s="7"/>
      <c r="W10" s="27"/>
      <c r="X10" s="26">
        <f>ACOS(Tringle!$D$8/Tringle!$D$7)</f>
        <v>1.3694384060045657</v>
      </c>
      <c r="Y10" s="7"/>
      <c r="Z10" s="7"/>
      <c r="AA10" s="27"/>
      <c r="AB10" s="26">
        <f>ACOS(Tringle!$D$8/Tringle!$D$7)</f>
        <v>1.3694384060045657</v>
      </c>
      <c r="AC10" s="7"/>
      <c r="AD10" s="7"/>
      <c r="AE10" s="27"/>
      <c r="AF10" s="26">
        <f>ACOS(Tringle!$D$8/Tringle!$D$7)</f>
        <v>1.3694384060045657</v>
      </c>
      <c r="AG10" s="7"/>
      <c r="AH10" s="7"/>
      <c r="AI10" s="27"/>
      <c r="AJ10" s="26">
        <f>ACOS(Tringle!$D$8/Tringle!$D$7)</f>
        <v>1.3694384060045657</v>
      </c>
      <c r="AK10" s="7"/>
      <c r="AL10" s="7"/>
      <c r="AM10" s="27"/>
    </row>
    <row r="11" spans="1:39" ht="12.75">
      <c r="A11" s="2"/>
      <c r="B11" s="2" t="s">
        <v>32</v>
      </c>
      <c r="C11" s="2"/>
      <c r="D11" s="2">
        <f>PI()/2-ASIN(Tringle!$D$10/Tringle!$D$9)-$I$6*RADIANS(Tringle!$D$12)</f>
        <v>1.7721542475852274</v>
      </c>
      <c r="E11" s="2"/>
      <c r="F11" s="2"/>
      <c r="G11" s="2"/>
      <c r="H11" s="2"/>
      <c r="I11" s="2"/>
      <c r="J11" s="2"/>
      <c r="K11" s="2"/>
      <c r="L11" s="26">
        <f>PI()/2-ASIN(Tringle!$D$10/Tringle!$D$9)-$I$6*RADIANS(Tringle!$D$12)</f>
        <v>1.7721542475852274</v>
      </c>
      <c r="M11" s="7"/>
      <c r="N11" s="7"/>
      <c r="O11" s="27"/>
      <c r="P11" s="26">
        <f>PI()/2-ASIN(Tringle!$D$10/Tringle!$D$9)-$I$6*RADIANS(Tringle!$D$12)</f>
        <v>1.7721542475852274</v>
      </c>
      <c r="Q11" s="7"/>
      <c r="R11" s="7"/>
      <c r="S11" s="27"/>
      <c r="T11" s="26">
        <f>PI()/2-ASIN(Tringle!$D$10/Tringle!$D$9)-$I$6*RADIANS(Tringle!$D$12)</f>
        <v>1.7721542475852274</v>
      </c>
      <c r="U11" s="7"/>
      <c r="V11" s="7"/>
      <c r="W11" s="27"/>
      <c r="X11" s="26">
        <f>PI()/2-ASIN(Tringle!$D$10/Tringle!$D$9)-$I$6*RADIANS(Tringle!$D$12)</f>
        <v>1.7721542475852274</v>
      </c>
      <c r="Y11" s="7"/>
      <c r="Z11" s="7"/>
      <c r="AA11" s="27"/>
      <c r="AB11" s="26">
        <f>PI()/2-ASIN(Tringle!$D$10/Tringle!$D$9)-$I$6*RADIANS(Tringle!$D$12)</f>
        <v>1.7721542475852274</v>
      </c>
      <c r="AC11" s="7"/>
      <c r="AD11" s="7"/>
      <c r="AE11" s="27"/>
      <c r="AF11" s="26">
        <f>PI()/2-ASIN(Tringle!$D$10/Tringle!$D$9)-$I$6*RADIANS(Tringle!$D$12)</f>
        <v>1.7721542475852274</v>
      </c>
      <c r="AG11" s="7"/>
      <c r="AH11" s="7"/>
      <c r="AI11" s="27"/>
      <c r="AJ11" s="26">
        <f>PI()/2-ASIN(Tringle!$D$10/Tringle!$D$9)-$I$6*RADIANS(Tringle!$D$12)</f>
        <v>1.7721542475852274</v>
      </c>
      <c r="AK11" s="7"/>
      <c r="AL11" s="7"/>
      <c r="AM11" s="27"/>
    </row>
    <row r="12" spans="1:39" ht="12.75">
      <c r="A12" s="2"/>
      <c r="B12" s="2" t="s">
        <v>31</v>
      </c>
      <c r="C12" s="2"/>
      <c r="D12" s="2">
        <f>SQRT((D6-D8)^2+(E6-E8)^2)</f>
        <v>93.00005486635122</v>
      </c>
      <c r="E12" s="2"/>
      <c r="F12" s="2"/>
      <c r="G12" s="2"/>
      <c r="H12" s="2"/>
      <c r="I12" s="2"/>
      <c r="J12" s="2"/>
      <c r="K12" s="2"/>
      <c r="L12" s="26">
        <f>SQRT((L6-L8)^2+(M6-M8)^2)</f>
        <v>93.00005486635122</v>
      </c>
      <c r="M12" s="7"/>
      <c r="N12" s="7"/>
      <c r="O12" s="27"/>
      <c r="P12" s="26">
        <f>SQRT((P6-P8)^2+(Q6-Q8)^2)</f>
        <v>93.00005486635122</v>
      </c>
      <c r="Q12" s="7"/>
      <c r="R12" s="7"/>
      <c r="S12" s="27"/>
      <c r="T12" s="26">
        <f>SQRT((T6-T8)^2+(U6-U8)^2)</f>
        <v>93.00005486635122</v>
      </c>
      <c r="U12" s="7"/>
      <c r="V12" s="7"/>
      <c r="W12" s="27"/>
      <c r="X12" s="26">
        <f>SQRT((X6-X8)^2+(Y6-Y8)^2)</f>
        <v>93.00005486635122</v>
      </c>
      <c r="Y12" s="7"/>
      <c r="Z12" s="7"/>
      <c r="AA12" s="27"/>
      <c r="AB12" s="26">
        <f>SQRT((AB6-AB8)^2+(AC6-AC8)^2)</f>
        <v>93.00005486635122</v>
      </c>
      <c r="AC12" s="7"/>
      <c r="AD12" s="7"/>
      <c r="AE12" s="27"/>
      <c r="AF12" s="26">
        <f>SQRT((AF6-AF8)^2+(AG6-AG8)^2)</f>
        <v>93.00005486635122</v>
      </c>
      <c r="AG12" s="7"/>
      <c r="AH12" s="7"/>
      <c r="AI12" s="27"/>
      <c r="AJ12" s="26">
        <f>SQRT((AJ6-AJ8)^2+(AK6-AK8)^2)</f>
        <v>93.00005486635122</v>
      </c>
      <c r="AK12" s="7"/>
      <c r="AL12" s="7"/>
      <c r="AM12" s="27"/>
    </row>
    <row r="13" spans="1:39" ht="12.75">
      <c r="A13" s="2"/>
      <c r="B13" s="2" t="s">
        <v>33</v>
      </c>
      <c r="C13" s="2"/>
      <c r="D13" s="2">
        <f>RADIANS(Tringle!$D$13)</f>
        <v>0.6981317007977318</v>
      </c>
      <c r="E13" s="2"/>
      <c r="F13" s="2"/>
      <c r="G13" s="2"/>
      <c r="H13" s="2"/>
      <c r="I13" s="2"/>
      <c r="J13" s="2"/>
      <c r="K13" s="2"/>
      <c r="L13" s="26">
        <f>ABS(RADIANS($G$36))</f>
        <v>0.6108652381980153</v>
      </c>
      <c r="M13" s="7"/>
      <c r="N13" s="7"/>
      <c r="O13" s="27"/>
      <c r="P13" s="26">
        <f>ABS(RADIANS($G$37))</f>
        <v>0.5235987755982988</v>
      </c>
      <c r="Q13" s="7"/>
      <c r="R13" s="7"/>
      <c r="S13" s="27"/>
      <c r="T13" s="26">
        <f>ABS(RADIANS($G$38))</f>
        <v>0.4363323129985824</v>
      </c>
      <c r="U13" s="7"/>
      <c r="V13" s="7"/>
      <c r="W13" s="27"/>
      <c r="X13" s="26">
        <f>ABS(RADIANS($G$39))</f>
        <v>0.3490658503988659</v>
      </c>
      <c r="Y13" s="7"/>
      <c r="Z13" s="7"/>
      <c r="AA13" s="27"/>
      <c r="AB13" s="26">
        <f>ABS(RADIANS($G$40))</f>
        <v>0.2617993877991494</v>
      </c>
      <c r="AC13" s="7"/>
      <c r="AD13" s="7"/>
      <c r="AE13" s="27"/>
      <c r="AF13" s="26">
        <f>ABS(RADIANS($G$41))</f>
        <v>0.17453292519943295</v>
      </c>
      <c r="AG13" s="7"/>
      <c r="AH13" s="7"/>
      <c r="AI13" s="27"/>
      <c r="AJ13" s="26">
        <f>ABS(RADIANS($G$42))</f>
        <v>0.08726646259971647</v>
      </c>
      <c r="AK13" s="7"/>
      <c r="AL13" s="7"/>
      <c r="AM13" s="27"/>
    </row>
    <row r="14" spans="1:3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6"/>
      <c r="M14" s="7"/>
      <c r="N14" s="7"/>
      <c r="O14" s="27"/>
      <c r="P14" s="26"/>
      <c r="Q14" s="7"/>
      <c r="R14" s="7"/>
      <c r="S14" s="27"/>
      <c r="T14" s="26"/>
      <c r="U14" s="7"/>
      <c r="V14" s="7"/>
      <c r="W14" s="27"/>
      <c r="X14" s="26"/>
      <c r="Y14" s="7"/>
      <c r="Z14" s="7"/>
      <c r="AA14" s="27"/>
      <c r="AB14" s="26"/>
      <c r="AC14" s="7"/>
      <c r="AD14" s="7"/>
      <c r="AE14" s="27"/>
      <c r="AF14" s="26"/>
      <c r="AG14" s="7"/>
      <c r="AH14" s="7"/>
      <c r="AI14" s="27"/>
      <c r="AJ14" s="26"/>
      <c r="AK14" s="7"/>
      <c r="AL14" s="7"/>
      <c r="AM14" s="27"/>
    </row>
    <row r="15" spans="1:39" ht="12.75">
      <c r="A15" s="2"/>
      <c r="B15" s="1" t="s">
        <v>28</v>
      </c>
      <c r="C15" s="2"/>
      <c r="D15" s="2"/>
      <c r="E15" s="2"/>
      <c r="F15" s="2"/>
      <c r="G15" s="1" t="s">
        <v>29</v>
      </c>
      <c r="H15" s="2"/>
      <c r="I15" s="2"/>
      <c r="J15" s="2"/>
      <c r="K15" s="2"/>
      <c r="L15" s="26"/>
      <c r="M15" s="7"/>
      <c r="N15" s="7"/>
      <c r="O15" s="27"/>
      <c r="P15" s="26"/>
      <c r="Q15" s="7"/>
      <c r="R15" s="7"/>
      <c r="S15" s="27"/>
      <c r="T15" s="26"/>
      <c r="U15" s="7"/>
      <c r="V15" s="7"/>
      <c r="W15" s="27"/>
      <c r="X15" s="26"/>
      <c r="Y15" s="7"/>
      <c r="Z15" s="7"/>
      <c r="AA15" s="27"/>
      <c r="AB15" s="26"/>
      <c r="AC15" s="7"/>
      <c r="AD15" s="7"/>
      <c r="AE15" s="27"/>
      <c r="AF15" s="26"/>
      <c r="AG15" s="7"/>
      <c r="AH15" s="7"/>
      <c r="AI15" s="27"/>
      <c r="AJ15" s="26"/>
      <c r="AK15" s="7"/>
      <c r="AL15" s="7"/>
      <c r="AM15" s="27"/>
    </row>
    <row r="16" spans="1:39" ht="12.75">
      <c r="A16" s="2"/>
      <c r="B16" s="2" t="s">
        <v>43</v>
      </c>
      <c r="C16" s="2"/>
      <c r="D16" s="2">
        <f>D10-D13</f>
        <v>0.6713067052068339</v>
      </c>
      <c r="E16" s="2"/>
      <c r="F16" s="2"/>
      <c r="G16" s="2" t="s">
        <v>44</v>
      </c>
      <c r="H16" s="2"/>
      <c r="I16" s="2">
        <f>D10+D13</f>
        <v>2.0675701068022976</v>
      </c>
      <c r="J16" s="2"/>
      <c r="K16" s="2"/>
      <c r="L16" s="26">
        <f>L10-L13</f>
        <v>0.7585731678065504</v>
      </c>
      <c r="M16" s="7"/>
      <c r="N16" s="7">
        <f>L10+L13</f>
        <v>1.980303644202581</v>
      </c>
      <c r="O16" s="27"/>
      <c r="P16" s="26">
        <f>P10-P13</f>
        <v>0.8458396304062669</v>
      </c>
      <c r="Q16" s="7"/>
      <c r="R16" s="7">
        <f>P10+P13</f>
        <v>1.8930371816028644</v>
      </c>
      <c r="S16" s="27"/>
      <c r="T16" s="26">
        <f>T10-T13</f>
        <v>0.9331060930059834</v>
      </c>
      <c r="U16" s="7"/>
      <c r="V16" s="7">
        <f>T10+T13</f>
        <v>1.805770719003148</v>
      </c>
      <c r="W16" s="27"/>
      <c r="X16" s="26">
        <f>X10-X13</f>
        <v>1.0203725556056997</v>
      </c>
      <c r="Y16" s="7"/>
      <c r="Z16" s="7">
        <f>X10+X13</f>
        <v>1.7185042564034316</v>
      </c>
      <c r="AA16" s="27"/>
      <c r="AB16" s="26">
        <f>AB10-AB13</f>
        <v>1.1076390182054163</v>
      </c>
      <c r="AC16" s="7"/>
      <c r="AD16" s="7">
        <f>AB10+AB13</f>
        <v>1.631237793803715</v>
      </c>
      <c r="AE16" s="27"/>
      <c r="AF16" s="26">
        <f>AF10-AF13</f>
        <v>1.1949054808051327</v>
      </c>
      <c r="AG16" s="7"/>
      <c r="AH16" s="7">
        <f>AF10+AF13</f>
        <v>1.5439713312039987</v>
      </c>
      <c r="AI16" s="27"/>
      <c r="AJ16" s="26">
        <f>AJ10-AJ13</f>
        <v>1.2821719434048493</v>
      </c>
      <c r="AK16" s="7"/>
      <c r="AL16" s="7">
        <f>AJ10+AJ13</f>
        <v>1.456704868604282</v>
      </c>
      <c r="AM16" s="27"/>
    </row>
    <row r="17" spans="1:39" ht="12.75">
      <c r="A17" s="2"/>
      <c r="B17" s="2"/>
      <c r="C17" s="2"/>
      <c r="D17" s="2" t="s">
        <v>5</v>
      </c>
      <c r="E17" s="2" t="s">
        <v>6</v>
      </c>
      <c r="F17" s="2"/>
      <c r="G17" s="2"/>
      <c r="H17" s="2"/>
      <c r="I17" s="2" t="s">
        <v>5</v>
      </c>
      <c r="J17" s="2" t="s">
        <v>6</v>
      </c>
      <c r="K17" s="2"/>
      <c r="L17" s="26" t="s">
        <v>5</v>
      </c>
      <c r="M17" s="7" t="s">
        <v>6</v>
      </c>
      <c r="N17" s="7" t="s">
        <v>5</v>
      </c>
      <c r="O17" s="27" t="s">
        <v>6</v>
      </c>
      <c r="P17" s="26" t="s">
        <v>5</v>
      </c>
      <c r="Q17" s="7" t="s">
        <v>6</v>
      </c>
      <c r="R17" s="7" t="s">
        <v>5</v>
      </c>
      <c r="S17" s="27" t="s">
        <v>6</v>
      </c>
      <c r="T17" s="26" t="s">
        <v>5</v>
      </c>
      <c r="U17" s="7" t="s">
        <v>6</v>
      </c>
      <c r="V17" s="7" t="s">
        <v>5</v>
      </c>
      <c r="W17" s="27" t="s">
        <v>6</v>
      </c>
      <c r="X17" s="26" t="s">
        <v>5</v>
      </c>
      <c r="Y17" s="7" t="s">
        <v>6</v>
      </c>
      <c r="Z17" s="7" t="s">
        <v>5</v>
      </c>
      <c r="AA17" s="27" t="s">
        <v>6</v>
      </c>
      <c r="AB17" s="26" t="s">
        <v>5</v>
      </c>
      <c r="AC17" s="7" t="s">
        <v>6</v>
      </c>
      <c r="AD17" s="7" t="s">
        <v>5</v>
      </c>
      <c r="AE17" s="27" t="s">
        <v>6</v>
      </c>
      <c r="AF17" s="26" t="s">
        <v>5</v>
      </c>
      <c r="AG17" s="7" t="s">
        <v>6</v>
      </c>
      <c r="AH17" s="7" t="s">
        <v>5</v>
      </c>
      <c r="AI17" s="27" t="s">
        <v>6</v>
      </c>
      <c r="AJ17" s="26" t="s">
        <v>5</v>
      </c>
      <c r="AK17" s="7" t="s">
        <v>6</v>
      </c>
      <c r="AL17" s="7" t="s">
        <v>5</v>
      </c>
      <c r="AM17" s="27" t="s">
        <v>6</v>
      </c>
    </row>
    <row r="18" spans="1:39" ht="12.75">
      <c r="A18" s="2"/>
      <c r="B18" s="2" t="s">
        <v>8</v>
      </c>
      <c r="C18" s="2"/>
      <c r="D18" s="2">
        <f>D5</f>
        <v>0</v>
      </c>
      <c r="E18" s="2">
        <f>E5</f>
        <v>0</v>
      </c>
      <c r="F18" s="2"/>
      <c r="G18" s="2" t="s">
        <v>8</v>
      </c>
      <c r="H18" s="2"/>
      <c r="I18" s="2">
        <f>D5</f>
        <v>0</v>
      </c>
      <c r="J18" s="2">
        <f>E5</f>
        <v>0</v>
      </c>
      <c r="K18" s="2"/>
      <c r="L18" s="26">
        <f>L5</f>
        <v>0</v>
      </c>
      <c r="M18" s="7">
        <f>M5</f>
        <v>0</v>
      </c>
      <c r="N18" s="7">
        <f>L5</f>
        <v>0</v>
      </c>
      <c r="O18" s="27">
        <f>M5</f>
        <v>0</v>
      </c>
      <c r="P18" s="26">
        <f>P5</f>
        <v>0</v>
      </c>
      <c r="Q18" s="7">
        <f>Q5</f>
        <v>0</v>
      </c>
      <c r="R18" s="7">
        <f>P5</f>
        <v>0</v>
      </c>
      <c r="S18" s="27">
        <f>Q5</f>
        <v>0</v>
      </c>
      <c r="T18" s="26">
        <f>T5</f>
        <v>0</v>
      </c>
      <c r="U18" s="7">
        <f>U5</f>
        <v>0</v>
      </c>
      <c r="V18" s="7">
        <f>T5</f>
        <v>0</v>
      </c>
      <c r="W18" s="27">
        <f>U5</f>
        <v>0</v>
      </c>
      <c r="X18" s="26">
        <f>X5</f>
        <v>0</v>
      </c>
      <c r="Y18" s="7">
        <f>Y5</f>
        <v>0</v>
      </c>
      <c r="Z18" s="7">
        <f>X5</f>
        <v>0</v>
      </c>
      <c r="AA18" s="27">
        <f>Y5</f>
        <v>0</v>
      </c>
      <c r="AB18" s="26">
        <f>AB5</f>
        <v>0</v>
      </c>
      <c r="AC18" s="7">
        <f>AC5</f>
        <v>0</v>
      </c>
      <c r="AD18" s="7">
        <f>AB5</f>
        <v>0</v>
      </c>
      <c r="AE18" s="27">
        <f>AC5</f>
        <v>0</v>
      </c>
      <c r="AF18" s="26">
        <f>AF5</f>
        <v>0</v>
      </c>
      <c r="AG18" s="7">
        <f>AG5</f>
        <v>0</v>
      </c>
      <c r="AH18" s="7">
        <f>AF5</f>
        <v>0</v>
      </c>
      <c r="AI18" s="27">
        <f>AG5</f>
        <v>0</v>
      </c>
      <c r="AJ18" s="26">
        <f>AJ5</f>
        <v>0</v>
      </c>
      <c r="AK18" s="7">
        <f>AK5</f>
        <v>0</v>
      </c>
      <c r="AL18" s="7">
        <f>AJ5</f>
        <v>0</v>
      </c>
      <c r="AM18" s="27">
        <f>AK5</f>
        <v>0</v>
      </c>
    </row>
    <row r="19" spans="1:39" ht="12.75">
      <c r="A19" s="2"/>
      <c r="B19" s="2" t="s">
        <v>16</v>
      </c>
      <c r="C19" s="2"/>
      <c r="D19" s="2">
        <f>Tringle!$D$7*COS(D16)</f>
        <v>11.745143269648706</v>
      </c>
      <c r="E19" s="2">
        <f>$I$5*Tringle!$D$7*SIN(D16)</f>
        <v>-9.33014520655631</v>
      </c>
      <c r="F19" s="2"/>
      <c r="G19" s="2" t="s">
        <v>17</v>
      </c>
      <c r="H19" s="2"/>
      <c r="I19" s="2">
        <f>Tringle!$D$7*COS(I16)</f>
        <v>-7.148876610934835</v>
      </c>
      <c r="J19" s="2">
        <f>$I$5*Tringle!$D$7*SIN(I16)</f>
        <v>-13.18687086467555</v>
      </c>
      <c r="K19" s="2"/>
      <c r="L19" s="26">
        <f>Tringle!$D$7*COS(L16)</f>
        <v>10.887273718131071</v>
      </c>
      <c r="M19" s="7">
        <f>$I$5*Tringle!$D$7*SIN(L16)</f>
        <v>-10.318297872541402</v>
      </c>
      <c r="N19" s="7">
        <f>Tringle!$D$7*COS(N16)</f>
        <v>-5.972361452397117</v>
      </c>
      <c r="O19" s="27">
        <f>$I$5*Tringle!$D$7*SIN(N16)</f>
        <v>-13.759756490647682</v>
      </c>
      <c r="P19" s="26">
        <f>Tringle!$D$7*COS(P16)</f>
        <v>9.94654543970285</v>
      </c>
      <c r="Q19" s="7">
        <f>$I$5*Tringle!$D$7*SIN(P16)</f>
        <v>-11.227922061357853</v>
      </c>
      <c r="R19" s="7">
        <f>Tringle!$D$7*COS(R16)</f>
        <v>-4.750393016996214</v>
      </c>
      <c r="S19" s="27">
        <f>$I$5*Tringle!$D$7*SIN(R16)</f>
        <v>-14.227922061357857</v>
      </c>
      <c r="T19" s="26">
        <f>Tringle!$D$7*COS(T16)</f>
        <v>8.93011794459015</v>
      </c>
      <c r="U19" s="7">
        <f>$I$5*Tringle!$D$7*SIN(T16)</f>
        <v>-12.052094983682672</v>
      </c>
      <c r="V19" s="7">
        <f>Tringle!$D$7*COS(V16)</f>
        <v>-3.492271222370245</v>
      </c>
      <c r="W19" s="27">
        <f>$I$5*Tringle!$D$7*SIN(V16)</f>
        <v>-14.587804554126869</v>
      </c>
      <c r="X19" s="26">
        <f>Tringle!$D$7*COS(X16)</f>
        <v>7.845726859766476</v>
      </c>
      <c r="Y19" s="7">
        <f>$I$5*Tringle!$D$7*SIN(X16)</f>
        <v>-12.784544185927745</v>
      </c>
      <c r="Z19" s="7">
        <f>Tringle!$D$7*COS(Z16)</f>
        <v>-2.207571135051021</v>
      </c>
      <c r="AA19" s="27">
        <f>$I$5*Tringle!$D$7*SIN(Z16)</f>
        <v>-14.836665045881757</v>
      </c>
      <c r="AB19" s="26">
        <f>Tringle!$D$7*COS(AB16)</f>
        <v>6.701625056160574</v>
      </c>
      <c r="AC19" s="7">
        <f>$I$5*Tringle!$D$7*SIN(AB16)</f>
        <v>-13.419695287399069</v>
      </c>
      <c r="AD19" s="7">
        <f>Tringle!$D$7*COS(AD16)</f>
        <v>-0.9060700984261597</v>
      </c>
      <c r="AE19" s="27">
        <f>$I$5*Tringle!$D$7*SIN(AD16)</f>
        <v>-14.972609558014193</v>
      </c>
      <c r="AF19" s="26">
        <f>Tringle!$D$7*COS(AF16)</f>
        <v>5.506519839325447</v>
      </c>
      <c r="AG19" s="7">
        <f>$I$5*Tringle!$D$7*SIN(AF16)</f>
        <v>-13.952714404699726</v>
      </c>
      <c r="AH19" s="7">
        <f>Tringle!$D$7*COS(AH16)</f>
        <v>0.40232667874780514</v>
      </c>
      <c r="AI19" s="27">
        <f>$I$5*Tringle!$D$7*SIN(AH16)</f>
        <v>-14.994603470701309</v>
      </c>
      <c r="AJ19" s="26">
        <f>Tringle!$D$7*COS(AJ16)</f>
        <v>4.269506681585466</v>
      </c>
      <c r="AK19" s="7">
        <f>$I$5*Tringle!$D$7*SIN(AJ16)</f>
        <v>-14.379544940501319</v>
      </c>
      <c r="AL19" s="7">
        <f>Tringle!$D$7*COS(AL16)</f>
        <v>1.707661506965012</v>
      </c>
      <c r="AM19" s="27">
        <f>$I$5*Tringle!$D$7*SIN(AL16)</f>
        <v>-14.902479396987266</v>
      </c>
    </row>
    <row r="20" spans="1:39" ht="12.75">
      <c r="A20" s="2"/>
      <c r="B20" s="2" t="s">
        <v>11</v>
      </c>
      <c r="C20" s="2"/>
      <c r="D20" s="2"/>
      <c r="E20" s="2">
        <f>Tringle!$D$6/(SIN(D16))</f>
        <v>8.038460103203684</v>
      </c>
      <c r="F20" s="2"/>
      <c r="G20" s="2" t="s">
        <v>12</v>
      </c>
      <c r="H20" s="2"/>
      <c r="I20" s="2"/>
      <c r="J20" s="2">
        <f>Tringle!$D$6/(SIN(I16))</f>
        <v>5.687475123526608</v>
      </c>
      <c r="K20" s="2"/>
      <c r="L20" s="26"/>
      <c r="M20" s="7">
        <f>Tringle!$D$6/(SIN(L16))</f>
        <v>7.268640712494517</v>
      </c>
      <c r="N20" s="7"/>
      <c r="O20" s="27">
        <f>Tringle!$D$6/(SIN(N16))</f>
        <v>5.450677855453073</v>
      </c>
      <c r="P20" s="26"/>
      <c r="Q20" s="7">
        <f>Tringle!$D$6/(SIN(P16))</f>
        <v>6.679775615660966</v>
      </c>
      <c r="R20" s="7"/>
      <c r="S20" s="27">
        <f>Tringle!$D$6/(SIN(R16))</f>
        <v>5.271324911435612</v>
      </c>
      <c r="T20" s="26"/>
      <c r="U20" s="7">
        <f>Tringle!$D$6/(SIN(T16))</f>
        <v>6.222984477100661</v>
      </c>
      <c r="V20" s="7"/>
      <c r="W20" s="27">
        <f>Tringle!$D$6/(SIN(V16))</f>
        <v>5.14128083644928</v>
      </c>
      <c r="X20" s="26"/>
      <c r="Y20" s="7">
        <f>Tringle!$D$6/(SIN(X16))</f>
        <v>5.8664586636224625</v>
      </c>
      <c r="Z20" s="7"/>
      <c r="AA20" s="27">
        <f>Tringle!$D$6/(SIN(Z16))</f>
        <v>5.055044362602086</v>
      </c>
      <c r="AB20" s="26"/>
      <c r="AC20" s="7">
        <f>Tringle!$D$6/(SIN(AB16))</f>
        <v>5.58880051996591</v>
      </c>
      <c r="AD20" s="7"/>
      <c r="AE20" s="27">
        <f>Tringle!$D$6/(SIN(AD16))</f>
        <v>5.009146849745757</v>
      </c>
      <c r="AF20" s="26"/>
      <c r="AG20" s="7">
        <f>Tringle!$D$6/(SIN(AF16))</f>
        <v>5.3752981552276</v>
      </c>
      <c r="AH20" s="7"/>
      <c r="AI20" s="27">
        <f>Tringle!$D$6/(SIN(AH16))</f>
        <v>5.001799490499777</v>
      </c>
      <c r="AJ20" s="26"/>
      <c r="AK20" s="7">
        <f>Tringle!$D$6/(SIN(AJ16))</f>
        <v>5.215742244301178</v>
      </c>
      <c r="AL20" s="7"/>
      <c r="AM20" s="27">
        <f>Tringle!$D$6/(SIN(AL16))</f>
        <v>5.0327195899470425</v>
      </c>
    </row>
    <row r="21" spans="1:39" ht="12.75">
      <c r="A21" s="2"/>
      <c r="B21" s="2" t="s">
        <v>18</v>
      </c>
      <c r="C21" s="2"/>
      <c r="D21" s="2"/>
      <c r="E21" s="2">
        <f>SQRT((D7-D19)^2+(E7-E19)^2)</f>
        <v>89.41069733614553</v>
      </c>
      <c r="F21" s="2"/>
      <c r="G21" s="2" t="s">
        <v>19</v>
      </c>
      <c r="H21" s="2"/>
      <c r="I21" s="2"/>
      <c r="J21" s="2">
        <f>SQRT((D7-I19)^2+(E7-J19)^2)</f>
        <v>108.6813876928047</v>
      </c>
      <c r="K21" s="2"/>
      <c r="L21" s="26"/>
      <c r="M21" s="7">
        <f>SQRT((L7-L19)^2+(M7-M19)^2)</f>
        <v>90.41973365974488</v>
      </c>
      <c r="N21" s="7"/>
      <c r="O21" s="27">
        <f>SQRT((L7-N19)^2+(M7-O19)^2)</f>
        <v>107.62002534559217</v>
      </c>
      <c r="P21" s="26"/>
      <c r="Q21" s="7">
        <f>SQRT((P7-P19)^2+(Q7-Q19)^2)</f>
        <v>91.50393506660252</v>
      </c>
      <c r="R21" s="7"/>
      <c r="S21" s="27">
        <f>SQRT((P7-R19)^2+(Q7-S19)^2)</f>
        <v>106.50050621481958</v>
      </c>
      <c r="T21" s="26"/>
      <c r="U21" s="7">
        <f>SQRT((T7-T19)^2+(U7-U19)^2)</f>
        <v>92.65256262467216</v>
      </c>
      <c r="V21" s="7"/>
      <c r="W21" s="27">
        <f>SQRT((T7-V19)^2+(U7-W19)^2)</f>
        <v>105.32963633287319</v>
      </c>
      <c r="X21" s="26"/>
      <c r="Y21" s="7">
        <f>SQRT((X7-X19)^2+(Y7-Y19)^2)</f>
        <v>93.85467526930123</v>
      </c>
      <c r="Z21" s="7"/>
      <c r="AA21" s="27">
        <f>SQRT((X7-Z19)^2+(Y7-AA19)^2)</f>
        <v>104.11474860685695</v>
      </c>
      <c r="AB21" s="26"/>
      <c r="AC21" s="7">
        <f>SQRT((AB7-AB19)^2+(AC7-AC19)^2)</f>
        <v>95.09927413835436</v>
      </c>
      <c r="AD21" s="7"/>
      <c r="AE21" s="27">
        <f>SQRT((AB7-AD19)^2+(AC7-AE19)^2)</f>
        <v>102.8636967800855</v>
      </c>
      <c r="AF21" s="26"/>
      <c r="AG21" s="7">
        <f>SQRT((AF7-AF19)^2+(AG7-AG19)^2)</f>
        <v>96.37542828014777</v>
      </c>
      <c r="AH21" s="7"/>
      <c r="AI21" s="27">
        <f>SQRT((AF7-AH19)^2+(AG7-AI19)^2)</f>
        <v>101.58484482912523</v>
      </c>
      <c r="AJ21" s="26"/>
      <c r="AK21" s="7">
        <f>SQRT((AJ7-AJ19)^2+(AK7-AK19)^2)</f>
        <v>97.67238152665225</v>
      </c>
      <c r="AL21" s="7"/>
      <c r="AM21" s="27">
        <f>SQRT((AJ7-AL19)^2+(AK7-AM19)^2)</f>
        <v>100.28705047301408</v>
      </c>
    </row>
    <row r="22" spans="1:39" ht="12.75">
      <c r="A22" s="2"/>
      <c r="B22" s="2" t="s">
        <v>13</v>
      </c>
      <c r="C22" s="2"/>
      <c r="D22" s="2"/>
      <c r="E22" s="2">
        <f>ASIN((-$I$5*E20+Tringle!$D$7)*SIN(D16)/E21)</f>
        <v>0.16096749985676104</v>
      </c>
      <c r="F22" s="2"/>
      <c r="G22" s="2" t="s">
        <v>14</v>
      </c>
      <c r="H22" s="2"/>
      <c r="I22" s="2"/>
      <c r="J22" s="2">
        <f>ASIN((-$I$5*J20+Tringle!$D$7)*SIN(I16)/J21)</f>
        <v>0.16813219277657757</v>
      </c>
      <c r="K22" s="2"/>
      <c r="L22" s="26"/>
      <c r="M22" s="7">
        <f>ASIN((-$I$5*M20+Tringle!$D$7)*SIN(L16)/M21)</f>
        <v>0.1702342483589094</v>
      </c>
      <c r="N22" s="7"/>
      <c r="O22" s="27">
        <f>ASIN((-$I$5*O20+Tringle!$D$7)*SIN(N16)/O21)</f>
        <v>0.17520980845298784</v>
      </c>
      <c r="P22" s="26"/>
      <c r="Q22" s="7">
        <f>ASIN((-$I$5*Q20+Tringle!$D$7)*SIN(P16)/Q21)</f>
        <v>0.17828976901921</v>
      </c>
      <c r="R22" s="7"/>
      <c r="S22" s="27">
        <f>ASIN((-$I$5*S20+Tringle!$D$7)*SIN(R16)/S21)</f>
        <v>0.1815385066036898</v>
      </c>
      <c r="T22" s="26"/>
      <c r="U22" s="7">
        <f>ASIN((-$I$5*U20+Tringle!$D$7)*SIN(T16)/U21)</f>
        <v>0.18509857466979307</v>
      </c>
      <c r="V22" s="7"/>
      <c r="W22" s="27">
        <f>ASIN((-$I$5*W20+Tringle!$D$7)*SIN(V16)/W21)</f>
        <v>0.18705563019334462</v>
      </c>
      <c r="X22" s="26"/>
      <c r="Y22" s="7">
        <f>ASIN((-$I$5*Y20+Tringle!$D$7)*SIN(X16)/Y21)</f>
        <v>0.19064294635902243</v>
      </c>
      <c r="Z22" s="7"/>
      <c r="AA22" s="27">
        <f>ASIN((-$I$5*AA20+Tringle!$D$7)*SIN(Z16)/AA21)</f>
        <v>0.19169889694125353</v>
      </c>
      <c r="AB22" s="26"/>
      <c r="AC22" s="7">
        <f>ASIN((-$I$5*AC20+Tringle!$D$7)*SIN(AB16)/AC21)</f>
        <v>0.1949210961907733</v>
      </c>
      <c r="AD22" s="7"/>
      <c r="AE22" s="27">
        <f>ASIN((-$I$5*AE20+Tringle!$D$7)*SIN(AD16)/AE21)</f>
        <v>0.19540697062746276</v>
      </c>
      <c r="AF22" s="26"/>
      <c r="AG22" s="7">
        <f>ASIN((-$I$5*AG20+Tringle!$D$7)*SIN(AF16)/AG21)</f>
        <v>0.19794517478681425</v>
      </c>
      <c r="AH22" s="7"/>
      <c r="AI22" s="27">
        <f>ASIN((-$I$5*AI20+Tringle!$D$7)*SIN(AH16)/AI21)</f>
        <v>0.19812018592494848</v>
      </c>
      <c r="AJ22" s="26"/>
      <c r="AK22" s="7">
        <f>ASIN((-$I$5*AK20+Tringle!$D$7)*SIN(AJ16)/AK21)</f>
        <v>0.19973924302670462</v>
      </c>
      <c r="AL22" s="7"/>
      <c r="AM22" s="27">
        <f>ASIN((-$I$5*AM20+Tringle!$D$7)*SIN(AL16)/AM21)</f>
        <v>0.19978144498613845</v>
      </c>
    </row>
    <row r="23" spans="1:39" ht="12.75">
      <c r="A23" s="2"/>
      <c r="B23" s="2" t="s">
        <v>15</v>
      </c>
      <c r="C23" s="2"/>
      <c r="D23" s="2"/>
      <c r="E23" s="2">
        <f>ACOS((Tringle!$D$9^2+E21^2-D12^2)/(2*Tringle!$D$9*E21))</f>
        <v>1.6420834599439333</v>
      </c>
      <c r="F23" s="2"/>
      <c r="G23" s="2" t="s">
        <v>20</v>
      </c>
      <c r="H23" s="2"/>
      <c r="I23" s="2"/>
      <c r="J23" s="2">
        <f>ACOS((Tringle!$D$9^2+J21^2-D12^2)/(2*Tringle!$D$9*J21))</f>
        <v>0.610235076911052</v>
      </c>
      <c r="K23" s="2"/>
      <c r="L23" s="26"/>
      <c r="M23" s="7">
        <f>ACOS((Tringle!$D$9^2+M21^2-L12^2)/(2*Tringle!$D$9*M21))</f>
        <v>1.5910593219713585</v>
      </c>
      <c r="N23" s="7"/>
      <c r="O23" s="27">
        <f>ACOS((Tringle!$D$9^2+O21^2-L12^2)/(2*Tringle!$D$9*O21))</f>
        <v>0.6852423878330693</v>
      </c>
      <c r="P23" s="26"/>
      <c r="Q23" s="7">
        <f>ACOS((Tringle!$D$9^2+Q21^2-P12^2)/(2*Tringle!$D$9*Q21))</f>
        <v>1.5369224729909803</v>
      </c>
      <c r="R23" s="7"/>
      <c r="S23" s="27">
        <f>ACOS((Tringle!$D$9^2+S21^2-P12^2)/(2*Tringle!$D$9*S21))</f>
        <v>0.7581133301626121</v>
      </c>
      <c r="T23" s="26"/>
      <c r="U23" s="7">
        <f>ACOS((Tringle!$D$9^2+U21^2-T12^2)/(2*Tringle!$D$9*U21))</f>
        <v>1.4801493360759983</v>
      </c>
      <c r="V23" s="7"/>
      <c r="W23" s="27">
        <f>ACOS((Tringle!$D$9^2+W21^2-T12^2)/(2*Tringle!$D$9*W21))</f>
        <v>0.8293741136432089</v>
      </c>
      <c r="X23" s="26"/>
      <c r="Y23" s="7">
        <f>ACOS((Tringle!$D$9^2+Y21^2-X12^2)/(2*Tringle!$D$9*Y21))</f>
        <v>1.4211542965897719</v>
      </c>
      <c r="Z23" s="7"/>
      <c r="AA23" s="27">
        <f>ACOS((Tringle!$D$9^2+AA21^2-X12^2)/(2*Tringle!$D$9*AA21))</f>
        <v>0.8993499560700777</v>
      </c>
      <c r="AB23" s="26"/>
      <c r="AC23" s="7">
        <f>ACOS((Tringle!$D$9^2+AC21^2-AB12^2)/(2*Tringle!$D$9*AC21))</f>
        <v>1.3602892760979794</v>
      </c>
      <c r="AD23" s="7"/>
      <c r="AE23" s="27">
        <f>ACOS((Tringle!$D$9^2+AE21^2-AB12^2)/(2*Tringle!$D$9*AE21))</f>
        <v>0.9682376290896958</v>
      </c>
      <c r="AF23" s="26"/>
      <c r="AG23" s="7">
        <f>ACOS((Tringle!$D$9^2+AG21^2-AF12^2)/(2*Tringle!$D$9*AG21))</f>
        <v>1.2978455426527113</v>
      </c>
      <c r="AH23" s="7"/>
      <c r="AI23" s="27">
        <f>ACOS((Tringle!$D$9^2+AI21^2-AF12^2)/(2*Tringle!$D$9*AI21))</f>
        <v>1.0361437042935053</v>
      </c>
      <c r="AJ23" s="26"/>
      <c r="AK23" s="7">
        <f>ACOS((Tringle!$D$9^2+AK21^2-AJ12^2)/(2*Tringle!$D$9*AK21))</f>
        <v>1.2340565858668677</v>
      </c>
      <c r="AL23" s="7"/>
      <c r="AM23" s="27">
        <f>ACOS((Tringle!$D$9^2+AM21^2-AJ12^2)/(2*Tringle!$D$9*AM21))</f>
        <v>1.1031053003749947</v>
      </c>
    </row>
    <row r="24" spans="1:39" ht="12.75">
      <c r="A24" s="2"/>
      <c r="B24" s="2" t="s">
        <v>21</v>
      </c>
      <c r="C24" s="2"/>
      <c r="D24" s="2"/>
      <c r="E24" s="2">
        <f>$I$6*PI()-$I$6*E23-$I$5*E22</f>
        <v>-1.3385416937890988</v>
      </c>
      <c r="F24" s="2"/>
      <c r="G24" s="2" t="s">
        <v>22</v>
      </c>
      <c r="H24" s="2"/>
      <c r="I24" s="2"/>
      <c r="J24" s="2">
        <f>$I$6*PI()-$I$6*J23-$I$5*J22</f>
        <v>-2.3632253839021633</v>
      </c>
      <c r="K24" s="2"/>
      <c r="L24" s="26"/>
      <c r="M24" s="7">
        <f>$I$6*PI()-$I$6*M23-$I$5*M22</f>
        <v>-1.3802990832595252</v>
      </c>
      <c r="N24" s="7"/>
      <c r="O24" s="27">
        <f>$I$6*PI()-$I$6*O23-$I$5*O22</f>
        <v>-2.281140457303736</v>
      </c>
      <c r="P24" s="26"/>
      <c r="Q24" s="7">
        <f>$I$6*PI()-$I$6*Q23-$I$5*Q22</f>
        <v>-1.4263804115796028</v>
      </c>
      <c r="R24" s="7"/>
      <c r="S24" s="27">
        <f>$I$6*PI()-$I$6*S23-$I$5*S22</f>
        <v>-2.201940816823491</v>
      </c>
      <c r="T24" s="26"/>
      <c r="U24" s="7">
        <f>$I$6*PI()-$I$6*U23-$I$5*U22</f>
        <v>-1.4763447428440017</v>
      </c>
      <c r="V24" s="7"/>
      <c r="W24" s="27">
        <f>$I$6*PI()-$I$6*W23-$I$5*W22</f>
        <v>-2.1251629097532394</v>
      </c>
      <c r="X24" s="26"/>
      <c r="Y24" s="7">
        <f>$I$6*PI()-$I$6*Y23-$I$5*Y22</f>
        <v>-1.5297954106409988</v>
      </c>
      <c r="Z24" s="7"/>
      <c r="AA24" s="27">
        <f>$I$6*PI()-$I$6*AA23-$I$5*AA22</f>
        <v>-2.050543800578462</v>
      </c>
      <c r="AB24" s="26"/>
      <c r="AC24" s="7">
        <f>$I$6*PI()-$I$6*AC23-$I$5*AC22</f>
        <v>-1.5863822813010404</v>
      </c>
      <c r="AD24" s="7"/>
      <c r="AE24" s="27">
        <f>$I$6*PI()-$I$6*AE23-$I$5*AE22</f>
        <v>-1.9779480538726346</v>
      </c>
      <c r="AF24" s="26"/>
      <c r="AG24" s="7">
        <f>$I$6*PI()-$I$6*AG23-$I$5*AG22</f>
        <v>-1.6458019361502676</v>
      </c>
      <c r="AH24" s="7"/>
      <c r="AI24" s="27">
        <f>$I$6*PI()-$I$6*AI23-$I$5*AI22</f>
        <v>-1.9073287633713394</v>
      </c>
      <c r="AJ24" s="26"/>
      <c r="AK24" s="7">
        <f>$I$6*PI()-$I$6*AK23-$I$5*AK22</f>
        <v>-1.7077968246962207</v>
      </c>
      <c r="AL24" s="7"/>
      <c r="AM24" s="27">
        <f>$I$6*PI()-$I$6*AM23-$I$5*AM22</f>
        <v>-1.8387059082286603</v>
      </c>
    </row>
    <row r="25" spans="1:39" ht="12.75">
      <c r="A25" s="2"/>
      <c r="B25" s="2"/>
      <c r="C25" s="2"/>
      <c r="D25" s="2" t="s">
        <v>5</v>
      </c>
      <c r="E25" s="2" t="s">
        <v>6</v>
      </c>
      <c r="F25" s="2"/>
      <c r="G25" s="2"/>
      <c r="H25" s="2"/>
      <c r="I25" s="2" t="s">
        <v>5</v>
      </c>
      <c r="J25" s="2" t="s">
        <v>6</v>
      </c>
      <c r="K25" s="2"/>
      <c r="L25" s="26" t="s">
        <v>5</v>
      </c>
      <c r="M25" s="7" t="s">
        <v>6</v>
      </c>
      <c r="N25" s="7" t="s">
        <v>5</v>
      </c>
      <c r="O25" s="27" t="s">
        <v>6</v>
      </c>
      <c r="P25" s="26" t="s">
        <v>5</v>
      </c>
      <c r="Q25" s="7" t="s">
        <v>6</v>
      </c>
      <c r="R25" s="7" t="s">
        <v>5</v>
      </c>
      <c r="S25" s="27" t="s">
        <v>6</v>
      </c>
      <c r="T25" s="26" t="s">
        <v>5</v>
      </c>
      <c r="U25" s="7" t="s">
        <v>6</v>
      </c>
      <c r="V25" s="7" t="s">
        <v>5</v>
      </c>
      <c r="W25" s="27" t="s">
        <v>6</v>
      </c>
      <c r="X25" s="26" t="s">
        <v>5</v>
      </c>
      <c r="Y25" s="7" t="s">
        <v>6</v>
      </c>
      <c r="Z25" s="7" t="s">
        <v>5</v>
      </c>
      <c r="AA25" s="27" t="s">
        <v>6</v>
      </c>
      <c r="AB25" s="26" t="s">
        <v>5</v>
      </c>
      <c r="AC25" s="7" t="s">
        <v>6</v>
      </c>
      <c r="AD25" s="7" t="s">
        <v>5</v>
      </c>
      <c r="AE25" s="27" t="s">
        <v>6</v>
      </c>
      <c r="AF25" s="26" t="s">
        <v>5</v>
      </c>
      <c r="AG25" s="7" t="s">
        <v>6</v>
      </c>
      <c r="AH25" s="7" t="s">
        <v>5</v>
      </c>
      <c r="AI25" s="27" t="s">
        <v>6</v>
      </c>
      <c r="AJ25" s="26" t="s">
        <v>5</v>
      </c>
      <c r="AK25" s="7" t="s">
        <v>6</v>
      </c>
      <c r="AL25" s="7" t="s">
        <v>5</v>
      </c>
      <c r="AM25" s="27" t="s">
        <v>6</v>
      </c>
    </row>
    <row r="26" spans="1:39" ht="12.75">
      <c r="A26" s="2"/>
      <c r="B26" s="2" t="s">
        <v>24</v>
      </c>
      <c r="C26" s="2"/>
      <c r="D26" s="2">
        <f>D7+Tringle!$D$9*COS(E24)</f>
        <v>104.60344405238624</v>
      </c>
      <c r="E26" s="2">
        <f>E7+Tringle!$D$9*SIN(E24)</f>
        <v>-14.46299830078988</v>
      </c>
      <c r="F26" s="2"/>
      <c r="G26" s="2" t="s">
        <v>25</v>
      </c>
      <c r="H26" s="2"/>
      <c r="I26" s="2">
        <f>D7+Tringle!$D$9*COS(J24)</f>
        <v>85.75878288902979</v>
      </c>
      <c r="J26" s="2">
        <f>E7+Tringle!$D$9*SIN(J24)</f>
        <v>-9.042355044585971</v>
      </c>
      <c r="K26" s="2"/>
      <c r="L26" s="26">
        <f>L7+Tringle!$D$9*COS(M24)</f>
        <v>103.78694333732422</v>
      </c>
      <c r="M26" s="7">
        <f>M7+Tringle!$D$9*SIN(M24)</f>
        <v>-14.638204097113764</v>
      </c>
      <c r="N26" s="7">
        <f>L7+Tringle!$D$9*COS(O24)</f>
        <v>86.9581058424463</v>
      </c>
      <c r="O26" s="27">
        <f>M7+Tringle!$D$9*SIN(O24)</f>
        <v>-10.162750304056543</v>
      </c>
      <c r="P26" s="26">
        <f>P7+Tringle!$D$9*COS(Q24)</f>
        <v>102.87828899504464</v>
      </c>
      <c r="Q26" s="7">
        <f>Q7+Tringle!$D$9*SIN(Q24)</f>
        <v>-14.791802658196772</v>
      </c>
      <c r="R26" s="7">
        <f>P7+Tringle!$D$9*COS(S24)</f>
        <v>88.19861697362603</v>
      </c>
      <c r="S26" s="27">
        <f>Q7+Tringle!$D$9*SIN(S24)</f>
        <v>-11.147054179162595</v>
      </c>
      <c r="T26" s="26">
        <f>T7+Tringle!$D$9*COS(U24)</f>
        <v>101.88622422429941</v>
      </c>
      <c r="U26" s="7">
        <f>U7+Tringle!$D$9*SIN(U24)</f>
        <v>-14.910855284885834</v>
      </c>
      <c r="V26" s="7">
        <f>T7+Tringle!$D$9*COS(W24)</f>
        <v>89.47190293785239</v>
      </c>
      <c r="W26" s="27">
        <f>U7+Tringle!$D$9*SIN(W24)</f>
        <v>-12.00468089233076</v>
      </c>
      <c r="X26" s="26">
        <f>X7+Tringle!$D$9*COS(Y24)</f>
        <v>100.81978859032115</v>
      </c>
      <c r="Y26" s="7">
        <f>Y7+Tringle!$D$9*SIN(Y24)</f>
        <v>-14.983191603624764</v>
      </c>
      <c r="Z26" s="7">
        <f>X7+Tringle!$D$9*COS(AA24)</f>
        <v>90.76889657303389</v>
      </c>
      <c r="AA26" s="27">
        <f>Y7+Tringle!$D$9*SIN(AA24)</f>
        <v>-12.742230116889317</v>
      </c>
      <c r="AB26" s="26">
        <f>AB7+Tringle!$D$9*COS(AC24)</f>
        <v>99.68829353029349</v>
      </c>
      <c r="AC26" s="7">
        <f>AC7+Tringle!$D$9*SIN(AC24)</f>
        <v>-14.997570829396832</v>
      </c>
      <c r="AD26" s="7">
        <f>AB7+Tringle!$D$9*COS(AE24)</f>
        <v>92.08008991558532</v>
      </c>
      <c r="AE26" s="27">
        <f>AC7+Tringle!$D$9*SIN(AE24)</f>
        <v>-13.36504898590762</v>
      </c>
      <c r="AF26" s="26">
        <f>AF7+Tringle!$D$9*COS(AG24)</f>
        <v>98.50129398283967</v>
      </c>
      <c r="AG26" s="7">
        <f>AG7+Tringle!$D$9*SIN(AG24)</f>
        <v>-14.943767955783265</v>
      </c>
      <c r="AH26" s="7">
        <f>AF7+Tringle!$D$9*COS(AI24)</f>
        <v>93.3956793565061</v>
      </c>
      <c r="AI26" s="27">
        <f>AG7+Tringle!$D$9*SIN(AI24)</f>
        <v>-13.878107660407071</v>
      </c>
      <c r="AJ26" s="26">
        <f>AJ7+Tringle!$D$9*COS(AK24)</f>
        <v>97.2685532719184</v>
      </c>
      <c r="AK26" s="7">
        <f>AK7+Tringle!$D$9*SIN(AK24)</f>
        <v>-14.812602019211216</v>
      </c>
      <c r="AL26" s="7">
        <f>AJ7+Tringle!$D$9*COS(AM24)</f>
        <v>94.70567658414325</v>
      </c>
      <c r="AM26" s="27">
        <f>AK7+Tringle!$D$9*SIN(AM24)</f>
        <v>-14.286527410819993</v>
      </c>
    </row>
    <row r="27" spans="1:39" ht="12.75">
      <c r="A27" s="2"/>
      <c r="B27" s="2" t="s">
        <v>37</v>
      </c>
      <c r="C27" s="2"/>
      <c r="D27" s="2">
        <f>E24-$I$6*D11</f>
        <v>0.4336125537961286</v>
      </c>
      <c r="E27" s="2"/>
      <c r="F27" s="2"/>
      <c r="G27" s="2" t="s">
        <v>39</v>
      </c>
      <c r="H27" s="2"/>
      <c r="I27" s="2">
        <f>J24-$I$6*D11</f>
        <v>-0.5910711363169359</v>
      </c>
      <c r="J27" s="2"/>
      <c r="K27" s="2"/>
      <c r="L27" s="26">
        <f>M24-$I$6*L11</f>
        <v>0.3918551643257022</v>
      </c>
      <c r="M27" s="7"/>
      <c r="N27" s="7">
        <f>O24-$I$6*L11</f>
        <v>-0.5089862097185085</v>
      </c>
      <c r="O27" s="27"/>
      <c r="P27" s="26">
        <f>Q24-$I$6*P11</f>
        <v>0.3457738360056246</v>
      </c>
      <c r="Q27" s="7"/>
      <c r="R27" s="7">
        <f>S24-$I$6*P11</f>
        <v>-0.42978656923826364</v>
      </c>
      <c r="S27" s="27"/>
      <c r="T27" s="26">
        <f>U24-$I$6*T11</f>
        <v>0.2958095047412257</v>
      </c>
      <c r="U27" s="7"/>
      <c r="V27" s="7">
        <f>W24-$I$6*T11</f>
        <v>-0.35300866216801197</v>
      </c>
      <c r="W27" s="27"/>
      <c r="X27" s="26">
        <f>Y24-$I$6*X11</f>
        <v>0.24235883694422866</v>
      </c>
      <c r="Y27" s="7"/>
      <c r="Z27" s="7">
        <f>AA24-$I$6*X11</f>
        <v>-0.27838955299323453</v>
      </c>
      <c r="AA27" s="27"/>
      <c r="AB27" s="26">
        <f>AC24-$I$6*AB11</f>
        <v>0.18577196628418702</v>
      </c>
      <c r="AC27" s="7"/>
      <c r="AD27" s="7">
        <f>AE24-$I$6*AB11</f>
        <v>-0.20579380628740718</v>
      </c>
      <c r="AE27" s="27"/>
      <c r="AF27" s="26">
        <f>AG24-$I$6*AF11</f>
        <v>0.12635231143495984</v>
      </c>
      <c r="AG27" s="7"/>
      <c r="AH27" s="7">
        <f>AI24-$I$6*AF11</f>
        <v>-0.13517451578611195</v>
      </c>
      <c r="AI27" s="27"/>
      <c r="AJ27" s="26">
        <f>AK24-$I$6*AJ11</f>
        <v>0.0643574228890067</v>
      </c>
      <c r="AK27" s="7"/>
      <c r="AL27" s="7">
        <f>AM24-$I$6*AJ11</f>
        <v>-0.06655166064343288</v>
      </c>
      <c r="AM27" s="27"/>
    </row>
    <row r="28" spans="1:39" ht="12.75">
      <c r="A28" s="2"/>
      <c r="B28" s="2" t="s">
        <v>34</v>
      </c>
      <c r="C28" s="2"/>
      <c r="D28" s="2">
        <f>D7+Tringle!$D$11*COS(D27)</f>
        <v>136.2981541403185</v>
      </c>
      <c r="E28" s="2">
        <f>E7+Tringle!$D$11*SIN(D27)</f>
        <v>21.80607051055301</v>
      </c>
      <c r="F28" s="2"/>
      <c r="G28" s="2" t="s">
        <v>40</v>
      </c>
      <c r="H28" s="2"/>
      <c r="I28" s="2">
        <f>D7+Tringle!$D$11*COS(I27)</f>
        <v>133.21377056137445</v>
      </c>
      <c r="J28" s="2">
        <f>E7+Tringle!$D$11*SIN(I27)</f>
        <v>-17.29003017262148</v>
      </c>
      <c r="K28" s="2"/>
      <c r="L28" s="26">
        <f>L7+Tringle!$D$11*COS(L27)</f>
        <v>136.9680862671205</v>
      </c>
      <c r="M28" s="7">
        <f>M7+Tringle!$D$11*SIN(L27)</f>
        <v>20.27614472786691</v>
      </c>
      <c r="N28" s="7">
        <f>L7+Tringle!$D$11*COS(N27)</f>
        <v>134.9295587367567</v>
      </c>
      <c r="O28" s="27">
        <f>M7+Tringle!$D$11*SIN(N27)</f>
        <v>-14.491688650690687</v>
      </c>
      <c r="P28" s="26">
        <f>P7+Tringle!$D$11*COS(P27)</f>
        <v>137.6325384839356</v>
      </c>
      <c r="Q28" s="7">
        <f>Q7+Tringle!$D$11*SIN(P27)</f>
        <v>18.556992559380756</v>
      </c>
      <c r="R28" s="7">
        <f>P7+Tringle!$D$11*COS(R27)</f>
        <v>136.362188080968</v>
      </c>
      <c r="S28" s="27">
        <f>Q7+Tringle!$D$11*SIN(R27)</f>
        <v>-11.667071667341805</v>
      </c>
      <c r="T28" s="26">
        <f>T7+Tringle!$D$11*COS(T27)</f>
        <v>138.26265894257472</v>
      </c>
      <c r="U28" s="7">
        <f>U7+Tringle!$D$11*SIN(T27)</f>
        <v>16.660571625962774</v>
      </c>
      <c r="V28" s="7">
        <f>T7+Tringle!$D$11*COS(V27)</f>
        <v>137.53347196491129</v>
      </c>
      <c r="W28" s="27">
        <f>U7+Tringle!$D$11*SIN(V27)</f>
        <v>-8.828900254872718</v>
      </c>
      <c r="X28" s="26">
        <f>X7+Tringle!$D$11*COS(X27)</f>
        <v>138.83098285279138</v>
      </c>
      <c r="Y28" s="7">
        <f>Y7+Tringle!$D$11*SIN(X27)</f>
        <v>14.599727636043777</v>
      </c>
      <c r="Z28" s="7">
        <f>X7+Tringle!$D$11*COS(Z27)</f>
        <v>138.4599699191218</v>
      </c>
      <c r="AA28" s="27">
        <f>Y7+Tringle!$D$11*SIN(Z27)</f>
        <v>-5.992302480383602</v>
      </c>
      <c r="AB28" s="26">
        <f>AB7+Tringle!$D$11*COS(AB27)</f>
        <v>139.3117582896327</v>
      </c>
      <c r="AC28" s="7">
        <f>AC7+Tringle!$D$11*SIN(AB27)</f>
        <v>12.388210891514525</v>
      </c>
      <c r="AD28" s="7">
        <f>AB7+Tringle!$D$11*COS(AD27)</f>
        <v>139.15596332711894</v>
      </c>
      <c r="AE28" s="27">
        <f>AC7+Tringle!$D$11*SIN(AD27)</f>
        <v>-3.1737712180680138</v>
      </c>
      <c r="AF28" s="26">
        <f>AF7+Tringle!$D$11*COS(AF27)</f>
        <v>139.6811264389753</v>
      </c>
      <c r="AG28" s="7">
        <f>AG7+Tringle!$D$11*SIN(AF27)</f>
        <v>10.04065516912799</v>
      </c>
      <c r="AH28" s="7">
        <f>AF7+Tringle!$D$11*COS(AH27)</f>
        <v>139.6351131192565</v>
      </c>
      <c r="AI28" s="27">
        <f>AG7+Tringle!$D$11*SIN(AH27)</f>
        <v>-0.3905294752688002</v>
      </c>
      <c r="AJ28" s="26">
        <f>AJ7+Tringle!$D$11*COS(AJ27)</f>
        <v>139.91719103035516</v>
      </c>
      <c r="AK28" s="7">
        <f>AK7+Tringle!$D$11*SIN(AJ27)</f>
        <v>7.572520212968865</v>
      </c>
      <c r="AL28" s="7">
        <f>AJ7+Tringle!$D$11*COS(AL27)</f>
        <v>139.91145021971084</v>
      </c>
      <c r="AM28" s="27">
        <f>AK7+Tringle!$D$11*SIN(AL27)</f>
        <v>2.3398982426336588</v>
      </c>
    </row>
    <row r="29" spans="1:39" ht="12.75">
      <c r="A29" s="2"/>
      <c r="B29" s="2" t="s">
        <v>35</v>
      </c>
      <c r="C29" s="2"/>
      <c r="D29" s="2">
        <f>-Tringle!$D$12+DEGREES(D27)</f>
        <v>24.844169276407534</v>
      </c>
      <c r="E29" s="2"/>
      <c r="F29" s="2"/>
      <c r="G29" s="2" t="s">
        <v>41</v>
      </c>
      <c r="H29" s="2"/>
      <c r="I29" s="2">
        <f>-Tringle!$D$12+DEGREES(I27)</f>
        <v>-33.86588150296218</v>
      </c>
      <c r="J29" s="2"/>
      <c r="K29" s="2"/>
      <c r="L29" s="26">
        <f>-Tringle!$D$12+DEGREES(L27)</f>
        <v>22.451647096268076</v>
      </c>
      <c r="M29" s="7"/>
      <c r="N29" s="7">
        <f>-Tringle!$D$12+DEGREES(N27)</f>
        <v>-29.162761647231143</v>
      </c>
      <c r="O29" s="27"/>
      <c r="P29" s="26">
        <f>-Tringle!$D$12+DEGREES(P27)</f>
        <v>19.811381469170954</v>
      </c>
      <c r="Q29" s="7"/>
      <c r="R29" s="7">
        <f>-Tringle!$D$12+DEGREES(R27)</f>
        <v>-24.62495650875964</v>
      </c>
      <c r="S29" s="27"/>
      <c r="T29" s="26">
        <f>-Tringle!$D$12+DEGREES(T27)</f>
        <v>16.948636161527347</v>
      </c>
      <c r="U29" s="7"/>
      <c r="V29" s="7">
        <f>-Tringle!$D$12+DEGREES(V27)</f>
        <v>-20.22590647378658</v>
      </c>
      <c r="W29" s="27"/>
      <c r="X29" s="26">
        <f>-Tringle!$D$12+DEGREES(X27)</f>
        <v>13.886138484603595</v>
      </c>
      <c r="Y29" s="7"/>
      <c r="Z29" s="7">
        <f>-Tringle!$D$12+DEGREES(Z27)</f>
        <v>-15.950546447045912</v>
      </c>
      <c r="AA29" s="27"/>
      <c r="AB29" s="26">
        <f>-Tringle!$D$12+DEGREES(AB27)</f>
        <v>10.643949619930542</v>
      </c>
      <c r="AC29" s="7"/>
      <c r="AD29" s="7">
        <f>-Tringle!$D$12+DEGREES(AD27)</f>
        <v>-11.791116550201256</v>
      </c>
      <c r="AE29" s="27"/>
      <c r="AF29" s="26">
        <f>-Tringle!$D$12+DEGREES(AF27)</f>
        <v>7.239454176945769</v>
      </c>
      <c r="AG29" s="7"/>
      <c r="AH29" s="7">
        <f>-Tringle!$D$12+DEGREES(AH27)</f>
        <v>-7.744929252268736</v>
      </c>
      <c r="AI29" s="27"/>
      <c r="AJ29" s="26">
        <f>-Tringle!$D$12+DEGREES(AJ27)</f>
        <v>3.6874087118787253</v>
      </c>
      <c r="AK29" s="7"/>
      <c r="AL29" s="7">
        <f>-Tringle!$D$12+DEGREES(AL27)</f>
        <v>-3.8131292744556085</v>
      </c>
      <c r="AM29" s="27"/>
    </row>
    <row r="30" spans="1:39" ht="12.75">
      <c r="A30" s="2"/>
      <c r="B30" s="2" t="s">
        <v>36</v>
      </c>
      <c r="C30" s="2"/>
      <c r="D30" s="2">
        <f>SQRT((D9-D28)^2+(E9-E28)^2)</f>
        <v>17.208941535565764</v>
      </c>
      <c r="E30" s="2"/>
      <c r="F30" s="2"/>
      <c r="G30" s="2" t="s">
        <v>42</v>
      </c>
      <c r="H30" s="2"/>
      <c r="I30" s="2">
        <f>SQRT((D9-I28)^2+(E9-J28)^2)</f>
        <v>23.300179293087943</v>
      </c>
      <c r="J30" s="2"/>
      <c r="K30" s="2"/>
      <c r="L30" s="28">
        <f>SQRT((L9-L28)^2+(M9-M28)^2)</f>
        <v>15.574116303352795</v>
      </c>
      <c r="M30" s="29"/>
      <c r="N30" s="29">
        <f>SQRT((L9-N28)^2+(M9-O28)^2)</f>
        <v>20.140389794129224</v>
      </c>
      <c r="O30" s="30"/>
      <c r="P30" s="28">
        <f>SQRT((P9-P28)^2+(Q9-Q28)^2)</f>
        <v>13.76215540114088</v>
      </c>
      <c r="Q30" s="29"/>
      <c r="R30" s="29">
        <f>SQRT((P9-R28)^2+(Q9-S28)^2)</f>
        <v>17.059453494252367</v>
      </c>
      <c r="S30" s="30"/>
      <c r="T30" s="28">
        <f>SQRT((T9-T28)^2+(U9-U28)^2)</f>
        <v>11.78928685688934</v>
      </c>
      <c r="U30" s="29"/>
      <c r="V30" s="29">
        <f>SQRT((T9-V28)^2+(U9-W28)^2)</f>
        <v>14.047143581778371</v>
      </c>
      <c r="W30" s="30"/>
      <c r="X30" s="28">
        <f>SQRT((X9-X28)^2+(Y9-Y28)^2)</f>
        <v>9.670644848027996</v>
      </c>
      <c r="Y30" s="29"/>
      <c r="Z30" s="29">
        <f>SQRT((X9-Z28)^2+(Y9-AA28)^2)</f>
        <v>11.099657943840308</v>
      </c>
      <c r="AA30" s="30"/>
      <c r="AB30" s="28">
        <f>SQRT((AB9-AB28)^2+(AC9-AC28)^2)</f>
        <v>7.420197896915092</v>
      </c>
      <c r="AC30" s="29"/>
      <c r="AD30" s="29">
        <f>SQRT((AB9-AD28)^2+(AC9-AE28)^2)</f>
        <v>8.217233952522296</v>
      </c>
      <c r="AE30" s="30"/>
      <c r="AF30" s="28">
        <f>SQRT((AF9-AF28)^2+(AG9-AG28)^2)</f>
        <v>5.050731123508488</v>
      </c>
      <c r="AG30" s="29"/>
      <c r="AH30" s="29">
        <f>SQRT((AF9-AH28)^2+(AG9-AI28)^2)</f>
        <v>5.402865023252057</v>
      </c>
      <c r="AI30" s="30"/>
      <c r="AJ30" s="28">
        <f>SQRT((AJ9-AJ28)^2+(AK9-AK28)^2)</f>
        <v>2.5738526709170855</v>
      </c>
      <c r="AK30" s="29"/>
      <c r="AL30" s="29">
        <f>SQRT((AJ9-AL28)^2+(AK9-AM28)^2)</f>
        <v>2.661575177058269</v>
      </c>
      <c r="AM30" s="30"/>
    </row>
    <row r="31" spans="1:4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5" t="s">
        <v>5</v>
      </c>
      <c r="M31" s="17" t="s">
        <v>6</v>
      </c>
      <c r="N31" s="17"/>
      <c r="O31" s="31" t="s">
        <v>169</v>
      </c>
      <c r="P31" s="25" t="s">
        <v>5</v>
      </c>
      <c r="Q31" s="17" t="s">
        <v>6</v>
      </c>
      <c r="R31" s="17"/>
      <c r="S31" s="31" t="s">
        <v>170</v>
      </c>
      <c r="T31" s="25" t="s">
        <v>5</v>
      </c>
      <c r="U31" s="17" t="s">
        <v>6</v>
      </c>
      <c r="V31" s="17"/>
      <c r="W31" s="31" t="s">
        <v>171</v>
      </c>
      <c r="X31" s="25" t="s">
        <v>5</v>
      </c>
      <c r="Y31" s="17" t="s">
        <v>6</v>
      </c>
      <c r="Z31" s="17"/>
      <c r="AA31" s="31" t="s">
        <v>172</v>
      </c>
      <c r="AB31" s="25" t="s">
        <v>5</v>
      </c>
      <c r="AC31" s="17" t="s">
        <v>6</v>
      </c>
      <c r="AD31" s="17"/>
      <c r="AE31" s="31" t="s">
        <v>173</v>
      </c>
      <c r="AF31" s="25" t="s">
        <v>5</v>
      </c>
      <c r="AG31" s="17" t="s">
        <v>6</v>
      </c>
      <c r="AH31" s="17"/>
      <c r="AI31" s="31" t="s">
        <v>174</v>
      </c>
      <c r="AJ31" s="25" t="s">
        <v>5</v>
      </c>
      <c r="AK31" s="17" t="s">
        <v>6</v>
      </c>
      <c r="AL31" s="17"/>
      <c r="AM31" s="31" t="s">
        <v>175</v>
      </c>
      <c r="AN31" s="7"/>
      <c r="AO31" s="7"/>
      <c r="AP31" s="7"/>
      <c r="AQ31" s="32"/>
    </row>
    <row r="32" spans="1:43" ht="13.5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6">
        <v>0</v>
      </c>
      <c r="M32" s="7">
        <v>0</v>
      </c>
      <c r="N32" s="7"/>
      <c r="O32" s="27"/>
      <c r="P32" s="26">
        <v>0</v>
      </c>
      <c r="Q32" s="7">
        <v>0</v>
      </c>
      <c r="R32" s="7"/>
      <c r="S32" s="27"/>
      <c r="T32" s="26">
        <v>0</v>
      </c>
      <c r="U32" s="7">
        <v>0</v>
      </c>
      <c r="V32" s="7"/>
      <c r="W32" s="27"/>
      <c r="X32" s="26">
        <v>0</v>
      </c>
      <c r="Y32" s="7">
        <v>0</v>
      </c>
      <c r="Z32" s="7"/>
      <c r="AA32" s="27"/>
      <c r="AB32" s="26">
        <v>0</v>
      </c>
      <c r="AC32" s="7">
        <v>0</v>
      </c>
      <c r="AD32" s="7"/>
      <c r="AE32" s="27"/>
      <c r="AF32" s="26">
        <v>0</v>
      </c>
      <c r="AG32" s="7">
        <v>0</v>
      </c>
      <c r="AH32" s="7"/>
      <c r="AI32" s="27"/>
      <c r="AJ32" s="26">
        <v>0</v>
      </c>
      <c r="AK32" s="7">
        <v>0</v>
      </c>
      <c r="AL32" s="7"/>
      <c r="AM32" s="27"/>
      <c r="AN32" s="7"/>
      <c r="AO32" s="7"/>
      <c r="AP32" s="7"/>
      <c r="AQ32" s="7"/>
    </row>
    <row r="33" spans="1:43" ht="12.75">
      <c r="A33" s="2"/>
      <c r="B33" s="3" t="s">
        <v>30</v>
      </c>
      <c r="C33" s="4"/>
      <c r="D33" s="5"/>
      <c r="E33" s="2"/>
      <c r="F33" s="3" t="s">
        <v>177</v>
      </c>
      <c r="G33" s="4"/>
      <c r="H33" s="5"/>
      <c r="I33" s="3" t="s">
        <v>179</v>
      </c>
      <c r="J33" s="5"/>
      <c r="K33" s="2"/>
      <c r="L33" s="26">
        <f>Tringle!$D$8</f>
        <v>3</v>
      </c>
      <c r="M33" s="7">
        <f>$I$5*SQRT(Tringle!$D$7^2-Tringle!$D$8^2)</f>
        <v>-14.696938456699069</v>
      </c>
      <c r="N33" s="7"/>
      <c r="O33" s="27"/>
      <c r="P33" s="26">
        <f>Tringle!$D$8</f>
        <v>3</v>
      </c>
      <c r="Q33" s="7">
        <f>$I$5*SQRT(Tringle!$D$7^2-Tringle!$D$8^2)</f>
        <v>-14.696938456699069</v>
      </c>
      <c r="R33" s="7"/>
      <c r="S33" s="27"/>
      <c r="T33" s="26">
        <f>Tringle!$D$8</f>
        <v>3</v>
      </c>
      <c r="U33" s="7">
        <f>$I$5*SQRT(Tringle!$D$7^2-Tringle!$D$8^2)</f>
        <v>-14.696938456699069</v>
      </c>
      <c r="V33" s="7"/>
      <c r="W33" s="27"/>
      <c r="X33" s="26">
        <f>Tringle!$D$8</f>
        <v>3</v>
      </c>
      <c r="Y33" s="7">
        <f>$I$5*SQRT(Tringle!$D$7^2-Tringle!$D$8^2)</f>
        <v>-14.696938456699069</v>
      </c>
      <c r="Z33" s="7"/>
      <c r="AA33" s="27"/>
      <c r="AB33" s="26">
        <f>Tringle!$D$8</f>
        <v>3</v>
      </c>
      <c r="AC33" s="7">
        <f>$I$5*SQRT(Tringle!$D$7^2-Tringle!$D$8^2)</f>
        <v>-14.696938456699069</v>
      </c>
      <c r="AD33" s="7"/>
      <c r="AE33" s="27"/>
      <c r="AF33" s="26">
        <f>Tringle!$D$8</f>
        <v>3</v>
      </c>
      <c r="AG33" s="7">
        <f>$I$5*SQRT(Tringle!$D$7^2-Tringle!$D$8^2)</f>
        <v>-14.696938456699069</v>
      </c>
      <c r="AH33" s="7"/>
      <c r="AI33" s="27"/>
      <c r="AJ33" s="26">
        <f>Tringle!$D$8</f>
        <v>3</v>
      </c>
      <c r="AK33" s="7">
        <f>$I$5*SQRT(Tringle!$D$7^2-Tringle!$D$8^2)</f>
        <v>-14.696938456699069</v>
      </c>
      <c r="AL33" s="7"/>
      <c r="AM33" s="27"/>
      <c r="AN33" s="7"/>
      <c r="AO33" s="7"/>
      <c r="AP33" s="7"/>
      <c r="AQ33" s="7"/>
    </row>
    <row r="34" spans="1:43" ht="12.75">
      <c r="A34" s="2"/>
      <c r="B34" s="6"/>
      <c r="C34" s="50" t="s">
        <v>5</v>
      </c>
      <c r="D34" s="51" t="s">
        <v>6</v>
      </c>
      <c r="E34" s="2"/>
      <c r="F34" s="6"/>
      <c r="G34" s="7"/>
      <c r="H34" s="10"/>
      <c r="I34" s="6">
        <f>G35*J38</f>
        <v>0</v>
      </c>
      <c r="J34" s="10">
        <f>H35*J38</f>
        <v>0</v>
      </c>
      <c r="K34" s="2"/>
      <c r="L34" s="26">
        <f>Tringle!$D$5</f>
        <v>100</v>
      </c>
      <c r="M34" s="7">
        <f>Tringle!$D$6</f>
        <v>5</v>
      </c>
      <c r="N34" s="7"/>
      <c r="O34" s="27"/>
      <c r="P34" s="26">
        <f>Tringle!$D$5</f>
        <v>100</v>
      </c>
      <c r="Q34" s="7">
        <f>Tringle!$D$6</f>
        <v>5</v>
      </c>
      <c r="R34" s="7"/>
      <c r="S34" s="27"/>
      <c r="T34" s="26">
        <f>Tringle!$D$5</f>
        <v>100</v>
      </c>
      <c r="U34" s="7">
        <f>Tringle!$D$6</f>
        <v>5</v>
      </c>
      <c r="V34" s="7"/>
      <c r="W34" s="27"/>
      <c r="X34" s="26">
        <f>Tringle!$D$5</f>
        <v>100</v>
      </c>
      <c r="Y34" s="7">
        <f>Tringle!$D$6</f>
        <v>5</v>
      </c>
      <c r="Z34" s="7"/>
      <c r="AA34" s="27"/>
      <c r="AB34" s="26">
        <f>Tringle!$D$5</f>
        <v>100</v>
      </c>
      <c r="AC34" s="7">
        <f>Tringle!$D$6</f>
        <v>5</v>
      </c>
      <c r="AD34" s="7"/>
      <c r="AE34" s="27"/>
      <c r="AF34" s="26">
        <f>Tringle!$D$5</f>
        <v>100</v>
      </c>
      <c r="AG34" s="7">
        <f>Tringle!$D$6</f>
        <v>5</v>
      </c>
      <c r="AH34" s="7"/>
      <c r="AI34" s="27"/>
      <c r="AJ34" s="26">
        <f>Tringle!$D$5</f>
        <v>100</v>
      </c>
      <c r="AK34" s="7">
        <f>Tringle!$D$6</f>
        <v>5</v>
      </c>
      <c r="AL34" s="7"/>
      <c r="AM34" s="27"/>
      <c r="AN34" s="7"/>
      <c r="AO34" s="7"/>
      <c r="AP34" s="7"/>
      <c r="AQ34" s="7"/>
    </row>
    <row r="35" spans="1:43" ht="12.75">
      <c r="A35" s="2"/>
      <c r="B35" s="6" t="s">
        <v>27</v>
      </c>
      <c r="C35" s="50">
        <f>D5</f>
        <v>0</v>
      </c>
      <c r="D35" s="51">
        <f>E5</f>
        <v>0</v>
      </c>
      <c r="E35" s="2"/>
      <c r="F35" s="33" t="s">
        <v>153</v>
      </c>
      <c r="G35" s="7">
        <f>-Tringle!$D13</f>
        <v>-40</v>
      </c>
      <c r="H35" s="10">
        <f>Tringle!$D$19</f>
        <v>-33.86588150296218</v>
      </c>
      <c r="I35" s="6">
        <f>G43</f>
        <v>0</v>
      </c>
      <c r="J35" s="10">
        <f>H43</f>
        <v>0</v>
      </c>
      <c r="L35" s="26">
        <f>Tringle!$D$5+Tringle!$D$10</f>
        <v>96</v>
      </c>
      <c r="M35" s="7">
        <f>Tringle!$D$6+$I$6*SQRT(Tringle!$D$9^2-Tringle!$D$10^2)</f>
        <v>-14.595917942265423</v>
      </c>
      <c r="N35" s="7"/>
      <c r="O35" s="27"/>
      <c r="P35" s="26">
        <f>Tringle!$D$5+Tringle!$D$10</f>
        <v>96</v>
      </c>
      <c r="Q35" s="7">
        <f>Tringle!$D$6+$I$6*SQRT(Tringle!$D$9^2-Tringle!$D$10^2)</f>
        <v>-14.595917942265423</v>
      </c>
      <c r="R35" s="7"/>
      <c r="S35" s="27"/>
      <c r="T35" s="26">
        <f>Tringle!$D$5+Tringle!$D$10</f>
        <v>96</v>
      </c>
      <c r="U35" s="7">
        <f>Tringle!$D$6+$I$6*SQRT(Tringle!$D$9^2-Tringle!$D$10^2)</f>
        <v>-14.595917942265423</v>
      </c>
      <c r="V35" s="7"/>
      <c r="W35" s="27"/>
      <c r="X35" s="26">
        <f>Tringle!$D$5+Tringle!$D$10</f>
        <v>96</v>
      </c>
      <c r="Y35" s="7">
        <f>Tringle!$D$6+$I$6*SQRT(Tringle!$D$9^2-Tringle!$D$10^2)</f>
        <v>-14.595917942265423</v>
      </c>
      <c r="Z35" s="7"/>
      <c r="AA35" s="27"/>
      <c r="AB35" s="26">
        <f>Tringle!$D$5+Tringle!$D$10</f>
        <v>96</v>
      </c>
      <c r="AC35" s="7">
        <f>Tringle!$D$6+$I$6*SQRT(Tringle!$D$9^2-Tringle!$D$10^2)</f>
        <v>-14.595917942265423</v>
      </c>
      <c r="AD35" s="7"/>
      <c r="AE35" s="27"/>
      <c r="AF35" s="26">
        <f>Tringle!$D$5+Tringle!$D$10</f>
        <v>96</v>
      </c>
      <c r="AG35" s="7">
        <f>Tringle!$D$6+$I$6*SQRT(Tringle!$D$9^2-Tringle!$D$10^2)</f>
        <v>-14.595917942265423</v>
      </c>
      <c r="AH35" s="7"/>
      <c r="AI35" s="27"/>
      <c r="AJ35" s="26">
        <f>Tringle!$D$5+Tringle!$D$10</f>
        <v>96</v>
      </c>
      <c r="AK35" s="7">
        <f>Tringle!$D$6+$I$6*SQRT(Tringle!$D$9^2-Tringle!$D$10^2)</f>
        <v>-14.595917942265423</v>
      </c>
      <c r="AL35" s="7"/>
      <c r="AM35" s="27"/>
      <c r="AN35" s="7"/>
      <c r="AO35" s="7"/>
      <c r="AP35" s="7"/>
      <c r="AQ35" s="7"/>
    </row>
    <row r="36" spans="1:43" ht="13.5" thickBot="1">
      <c r="A36" s="2"/>
      <c r="B36" s="6"/>
      <c r="C36" s="50">
        <f>D6</f>
        <v>3</v>
      </c>
      <c r="D36" s="51">
        <f>E6</f>
        <v>-14.696938456699069</v>
      </c>
      <c r="E36" s="2"/>
      <c r="F36" s="33" t="s">
        <v>161</v>
      </c>
      <c r="G36" s="7">
        <f>-Tringle!$D13*7/8</f>
        <v>-35</v>
      </c>
      <c r="H36" s="10">
        <f>IF(I6=-1,N29,L29)</f>
        <v>-29.162761647231143</v>
      </c>
      <c r="I36" s="8">
        <f>G51*J38</f>
        <v>0</v>
      </c>
      <c r="J36" s="11">
        <f>H51*J38</f>
        <v>0</v>
      </c>
      <c r="K36" s="2"/>
      <c r="L36" s="26">
        <f>L34+Tringle!$D$11*COS(RADIANS(Tringle!$D$12))</f>
        <v>140</v>
      </c>
      <c r="M36" s="7">
        <f>M34+Tringle!$D$11*SIN(RADIANS(Tringle!$D$12))</f>
        <v>5</v>
      </c>
      <c r="N36" s="7"/>
      <c r="O36" s="27"/>
      <c r="P36" s="26">
        <f>P34+Tringle!$D$11*COS(RADIANS(Tringle!$D$12))</f>
        <v>140</v>
      </c>
      <c r="Q36" s="7">
        <f>Q34+Tringle!$D$11*SIN(RADIANS(Tringle!$D$12))</f>
        <v>5</v>
      </c>
      <c r="R36" s="7"/>
      <c r="S36" s="27"/>
      <c r="T36" s="26">
        <f>T34+Tringle!$D$11*COS(RADIANS(Tringle!$D$12))</f>
        <v>140</v>
      </c>
      <c r="U36" s="7">
        <f>U34+Tringle!$D$11*SIN(RADIANS(Tringle!$D$12))</f>
        <v>5</v>
      </c>
      <c r="V36" s="7"/>
      <c r="W36" s="27"/>
      <c r="X36" s="26">
        <f>X34+Tringle!$D$11*COS(RADIANS(Tringle!$D$12))</f>
        <v>140</v>
      </c>
      <c r="Y36" s="7">
        <f>Y34+Tringle!$D$11*SIN(RADIANS(Tringle!$D$12))</f>
        <v>5</v>
      </c>
      <c r="Z36" s="7"/>
      <c r="AA36" s="27"/>
      <c r="AB36" s="26">
        <f>AB34+Tringle!$D$11*COS(RADIANS(Tringle!$D$12))</f>
        <v>140</v>
      </c>
      <c r="AC36" s="7">
        <f>AC34+Tringle!$D$11*SIN(RADIANS(Tringle!$D$12))</f>
        <v>5</v>
      </c>
      <c r="AD36" s="7"/>
      <c r="AE36" s="27"/>
      <c r="AF36" s="26">
        <f>AF34+Tringle!$D$11*COS(RADIANS(Tringle!$D$12))</f>
        <v>140</v>
      </c>
      <c r="AG36" s="7">
        <f>AG34+Tringle!$D$11*SIN(RADIANS(Tringle!$D$12))</f>
        <v>5</v>
      </c>
      <c r="AH36" s="7"/>
      <c r="AI36" s="27"/>
      <c r="AJ36" s="26">
        <f>AJ34+Tringle!$D$11*COS(RADIANS(Tringle!$D$12))</f>
        <v>140</v>
      </c>
      <c r="AK36" s="7">
        <f>AK34+Tringle!$D$11*SIN(RADIANS(Tringle!$D$12))</f>
        <v>5</v>
      </c>
      <c r="AL36" s="7"/>
      <c r="AM36" s="27"/>
      <c r="AN36" s="7"/>
      <c r="AO36" s="7"/>
      <c r="AP36" s="7"/>
      <c r="AQ36" s="7"/>
    </row>
    <row r="37" spans="1:43" ht="12.75">
      <c r="A37" s="2"/>
      <c r="B37" s="6"/>
      <c r="C37" s="50">
        <f>D8</f>
        <v>96</v>
      </c>
      <c r="D37" s="51">
        <f>E8</f>
        <v>-14.595917942265423</v>
      </c>
      <c r="E37" s="2"/>
      <c r="F37" s="33" t="s">
        <v>162</v>
      </c>
      <c r="G37" s="7">
        <f>-Tringle!$D13*6/8</f>
        <v>-30</v>
      </c>
      <c r="H37" s="10">
        <f>IF(I6=-1,R29,P29)</f>
        <v>-24.62495650875964</v>
      </c>
      <c r="I37" s="2"/>
      <c r="J37" s="2"/>
      <c r="K37" s="2"/>
      <c r="L37" s="26">
        <f>ACOS(Tringle!$D$8/Tringle!$D$7)</f>
        <v>1.3694384060045657</v>
      </c>
      <c r="M37" s="7"/>
      <c r="N37" s="7"/>
      <c r="O37" s="27"/>
      <c r="P37" s="26">
        <f>ACOS(Tringle!$D$8/Tringle!$D$7)</f>
        <v>1.3694384060045657</v>
      </c>
      <c r="Q37" s="7"/>
      <c r="R37" s="7"/>
      <c r="S37" s="27"/>
      <c r="T37" s="26">
        <f>ACOS(Tringle!$D$8/Tringle!$D$7)</f>
        <v>1.3694384060045657</v>
      </c>
      <c r="U37" s="7"/>
      <c r="V37" s="7"/>
      <c r="W37" s="27"/>
      <c r="X37" s="26">
        <f>ACOS(Tringle!$D$8/Tringle!$D$7)</f>
        <v>1.3694384060045657</v>
      </c>
      <c r="Y37" s="7"/>
      <c r="Z37" s="7"/>
      <c r="AA37" s="27"/>
      <c r="AB37" s="26">
        <f>ACOS(Tringle!$D$8/Tringle!$D$7)</f>
        <v>1.3694384060045657</v>
      </c>
      <c r="AC37" s="7"/>
      <c r="AD37" s="7"/>
      <c r="AE37" s="27"/>
      <c r="AF37" s="26">
        <f>ACOS(Tringle!$D$8/Tringle!$D$7)</f>
        <v>1.3694384060045657</v>
      </c>
      <c r="AG37" s="7"/>
      <c r="AH37" s="7"/>
      <c r="AI37" s="27"/>
      <c r="AJ37" s="26">
        <f>ACOS(Tringle!$D$8/Tringle!$D$7)</f>
        <v>1.3694384060045657</v>
      </c>
      <c r="AK37" s="7"/>
      <c r="AL37" s="7"/>
      <c r="AM37" s="27"/>
      <c r="AN37" s="7"/>
      <c r="AO37" s="7"/>
      <c r="AP37" s="7"/>
      <c r="AQ37" s="7"/>
    </row>
    <row r="38" spans="1:43" ht="12.75">
      <c r="A38" s="2"/>
      <c r="B38" s="6"/>
      <c r="C38" s="50">
        <f>D7</f>
        <v>100</v>
      </c>
      <c r="D38" s="51">
        <f>E7</f>
        <v>5</v>
      </c>
      <c r="E38" s="2"/>
      <c r="F38" s="33" t="s">
        <v>163</v>
      </c>
      <c r="G38" s="7">
        <f>-Tringle!$D13*5/8</f>
        <v>-25</v>
      </c>
      <c r="H38" s="10">
        <f>IF(I6=-1,V29,T29)</f>
        <v>-20.22590647378658</v>
      </c>
      <c r="I38" s="2"/>
      <c r="J38" s="2">
        <f>IF(J39=TRUE,1,0)</f>
        <v>0</v>
      </c>
      <c r="K38" s="2"/>
      <c r="L38" s="26">
        <f>PI()/2-ASIN(Tringle!$D$10/Tringle!$D$9)-$I$6*RADIANS(Tringle!$D$12)</f>
        <v>1.7721542475852274</v>
      </c>
      <c r="M38" s="7"/>
      <c r="N38" s="7"/>
      <c r="O38" s="27"/>
      <c r="P38" s="26">
        <f>PI()/2-ASIN(Tringle!$D$10/Tringle!$D$9)-$I$6*RADIANS(Tringle!$D$12)</f>
        <v>1.7721542475852274</v>
      </c>
      <c r="Q38" s="7"/>
      <c r="R38" s="7"/>
      <c r="S38" s="27"/>
      <c r="T38" s="26">
        <f>PI()/2-ASIN(Tringle!$D$10/Tringle!$D$9)-$I$6*RADIANS(Tringle!$D$12)</f>
        <v>1.7721542475852274</v>
      </c>
      <c r="U38" s="7"/>
      <c r="V38" s="7"/>
      <c r="W38" s="27"/>
      <c r="X38" s="26">
        <f>PI()/2-ASIN(Tringle!$D$10/Tringle!$D$9)-$I$6*RADIANS(Tringle!$D$12)</f>
        <v>1.7721542475852274</v>
      </c>
      <c r="Y38" s="7"/>
      <c r="Z38" s="7"/>
      <c r="AA38" s="27"/>
      <c r="AB38" s="26">
        <f>PI()/2-ASIN(Tringle!$D$10/Tringle!$D$9)-$I$6*RADIANS(Tringle!$D$12)</f>
        <v>1.7721542475852274</v>
      </c>
      <c r="AC38" s="7"/>
      <c r="AD38" s="7"/>
      <c r="AE38" s="27"/>
      <c r="AF38" s="26">
        <f>PI()/2-ASIN(Tringle!$D$10/Tringle!$D$9)-$I$6*RADIANS(Tringle!$D$12)</f>
        <v>1.7721542475852274</v>
      </c>
      <c r="AG38" s="7"/>
      <c r="AH38" s="7"/>
      <c r="AI38" s="27"/>
      <c r="AJ38" s="26">
        <f>PI()/2-ASIN(Tringle!$D$10/Tringle!$D$9)-$I$6*RADIANS(Tringle!$D$12)</f>
        <v>1.7721542475852274</v>
      </c>
      <c r="AK38" s="7"/>
      <c r="AL38" s="7"/>
      <c r="AM38" s="27"/>
      <c r="AN38" s="7"/>
      <c r="AO38" s="7"/>
      <c r="AP38" s="7"/>
      <c r="AQ38" s="7"/>
    </row>
    <row r="39" spans="1:43" ht="12.75">
      <c r="A39" s="2"/>
      <c r="B39" s="6"/>
      <c r="C39" s="50">
        <f>D9</f>
        <v>140</v>
      </c>
      <c r="D39" s="51">
        <f>E9</f>
        <v>5</v>
      </c>
      <c r="E39" s="2"/>
      <c r="F39" s="33" t="s">
        <v>164</v>
      </c>
      <c r="G39" s="7">
        <f>-Tringle!$D13*4/8</f>
        <v>-20</v>
      </c>
      <c r="H39" s="10">
        <f>IF(I6=-1,Z29,X29)</f>
        <v>-15.950546447045912</v>
      </c>
      <c r="I39" s="2"/>
      <c r="J39" s="2" t="b">
        <v>0</v>
      </c>
      <c r="K39" s="2"/>
      <c r="L39" s="26">
        <f>SQRT((L33-L35)^2+(M33-M35)^2)</f>
        <v>93.00005486635122</v>
      </c>
      <c r="M39" s="7"/>
      <c r="N39" s="7"/>
      <c r="O39" s="27"/>
      <c r="P39" s="26">
        <f>SQRT((P33-P35)^2+(Q33-Q35)^2)</f>
        <v>93.00005486635122</v>
      </c>
      <c r="Q39" s="7"/>
      <c r="R39" s="7"/>
      <c r="S39" s="27"/>
      <c r="T39" s="26">
        <f>SQRT((T33-T35)^2+(U33-U35)^2)</f>
        <v>93.00005486635122</v>
      </c>
      <c r="U39" s="7"/>
      <c r="V39" s="7"/>
      <c r="W39" s="27"/>
      <c r="X39" s="26">
        <f>SQRT((X33-X35)^2+(Y33-Y35)^2)</f>
        <v>93.00005486635122</v>
      </c>
      <c r="Y39" s="7"/>
      <c r="Z39" s="7"/>
      <c r="AA39" s="27"/>
      <c r="AB39" s="26">
        <f>SQRT((AB33-AB35)^2+(AC33-AC35)^2)</f>
        <v>93.00005486635122</v>
      </c>
      <c r="AC39" s="7"/>
      <c r="AD39" s="7"/>
      <c r="AE39" s="27"/>
      <c r="AF39" s="26">
        <f>SQRT((AF33-AF35)^2+(AG33-AG35)^2)</f>
        <v>93.00005486635122</v>
      </c>
      <c r="AG39" s="7"/>
      <c r="AH39" s="7"/>
      <c r="AI39" s="27"/>
      <c r="AJ39" s="26">
        <f>SQRT((AJ33-AJ35)^2+(AK33-AK35)^2)</f>
        <v>93.00005486635122</v>
      </c>
      <c r="AK39" s="7"/>
      <c r="AL39" s="7"/>
      <c r="AM39" s="27"/>
      <c r="AN39" s="7"/>
      <c r="AO39" s="7"/>
      <c r="AP39" s="7"/>
      <c r="AQ39" s="7"/>
    </row>
    <row r="40" spans="1:43" ht="12.75">
      <c r="A40" s="2"/>
      <c r="B40" s="6" t="s">
        <v>28</v>
      </c>
      <c r="C40" s="50">
        <f>D18</f>
        <v>0</v>
      </c>
      <c r="D40" s="51">
        <f>E18</f>
        <v>0</v>
      </c>
      <c r="E40" s="2"/>
      <c r="F40" s="33" t="s">
        <v>165</v>
      </c>
      <c r="G40" s="7">
        <f>-Tringle!$D13*3/8</f>
        <v>-15</v>
      </c>
      <c r="H40" s="10">
        <f>IF(I6=-1,AD29,AB29)</f>
        <v>-11.791116550201256</v>
      </c>
      <c r="I40" s="2"/>
      <c r="J40" s="2"/>
      <c r="K40" s="2"/>
      <c r="L40" s="26">
        <f>ABS(RADIANS($G$42))</f>
        <v>0.08726646259971647</v>
      </c>
      <c r="M40" s="7"/>
      <c r="N40" s="7"/>
      <c r="O40" s="27"/>
      <c r="P40" s="26">
        <f>ABS(RADIANS($G$41))</f>
        <v>0.17453292519943295</v>
      </c>
      <c r="Q40" s="7"/>
      <c r="R40" s="7"/>
      <c r="S40" s="27"/>
      <c r="T40" s="26">
        <f>ABS(RADIANS($G$40))</f>
        <v>0.2617993877991494</v>
      </c>
      <c r="U40" s="7"/>
      <c r="V40" s="7"/>
      <c r="W40" s="27"/>
      <c r="X40" s="26">
        <f>ABS(RADIANS($G$39))</f>
        <v>0.3490658503988659</v>
      </c>
      <c r="Y40" s="7"/>
      <c r="Z40" s="7"/>
      <c r="AA40" s="27"/>
      <c r="AB40" s="26">
        <f>ABS(RADIANS($G$38))</f>
        <v>0.4363323129985824</v>
      </c>
      <c r="AC40" s="7"/>
      <c r="AD40" s="7"/>
      <c r="AE40" s="27"/>
      <c r="AF40" s="26">
        <f>ABS(RADIANS($G$37))</f>
        <v>0.5235987755982988</v>
      </c>
      <c r="AG40" s="7"/>
      <c r="AH40" s="7"/>
      <c r="AI40" s="27"/>
      <c r="AJ40" s="26">
        <f>ABS(RADIANS($G$36))</f>
        <v>0.6108652381980153</v>
      </c>
      <c r="AK40" s="7"/>
      <c r="AL40" s="7"/>
      <c r="AM40" s="27"/>
      <c r="AN40" s="7"/>
      <c r="AO40" s="7"/>
      <c r="AP40" s="7"/>
      <c r="AQ40" s="7"/>
    </row>
    <row r="41" spans="1:43" ht="12.75">
      <c r="A41" s="2"/>
      <c r="B41" s="6"/>
      <c r="C41" s="50">
        <f>D19</f>
        <v>11.745143269648706</v>
      </c>
      <c r="D41" s="51">
        <f>E19</f>
        <v>-9.33014520655631</v>
      </c>
      <c r="E41" s="2"/>
      <c r="F41" s="33" t="s">
        <v>166</v>
      </c>
      <c r="G41" s="7">
        <f>-Tringle!$D13*2/8</f>
        <v>-10</v>
      </c>
      <c r="H41" s="10">
        <f>IF(I6=-1,AH29,AF29)</f>
        <v>-7.744929252268736</v>
      </c>
      <c r="I41" s="2"/>
      <c r="J41" s="2"/>
      <c r="K41" s="2"/>
      <c r="L41" s="26"/>
      <c r="M41" s="7"/>
      <c r="N41" s="7"/>
      <c r="O41" s="27"/>
      <c r="P41" s="26"/>
      <c r="Q41" s="7"/>
      <c r="R41" s="7"/>
      <c r="S41" s="27"/>
      <c r="T41" s="26"/>
      <c r="U41" s="7"/>
      <c r="V41" s="7"/>
      <c r="W41" s="27"/>
      <c r="X41" s="26"/>
      <c r="Y41" s="7"/>
      <c r="Z41" s="7"/>
      <c r="AA41" s="27"/>
      <c r="AB41" s="26"/>
      <c r="AC41" s="7"/>
      <c r="AD41" s="7"/>
      <c r="AE41" s="27"/>
      <c r="AF41" s="26"/>
      <c r="AG41" s="7"/>
      <c r="AH41" s="7"/>
      <c r="AI41" s="27"/>
      <c r="AJ41" s="26"/>
      <c r="AK41" s="7"/>
      <c r="AL41" s="7"/>
      <c r="AM41" s="27"/>
      <c r="AN41" s="7"/>
      <c r="AO41" s="7"/>
      <c r="AP41" s="7"/>
      <c r="AQ41" s="7"/>
    </row>
    <row r="42" spans="1:43" ht="12.75">
      <c r="A42" s="2"/>
      <c r="B42" s="6"/>
      <c r="C42" s="50">
        <f>D26</f>
        <v>104.60344405238624</v>
      </c>
      <c r="D42" s="51">
        <f>E26</f>
        <v>-14.46299830078988</v>
      </c>
      <c r="E42" s="2"/>
      <c r="F42" s="33" t="s">
        <v>167</v>
      </c>
      <c r="G42" s="7">
        <f>-Tringle!$D13*1/8</f>
        <v>-5</v>
      </c>
      <c r="H42" s="10">
        <f>IF(I6=-1,AL29,AJ29)</f>
        <v>-3.8131292744556085</v>
      </c>
      <c r="I42" s="2"/>
      <c r="J42" s="2"/>
      <c r="K42" s="2"/>
      <c r="L42" s="26"/>
      <c r="M42" s="7"/>
      <c r="N42" s="7"/>
      <c r="O42" s="27"/>
      <c r="P42" s="26"/>
      <c r="Q42" s="7"/>
      <c r="R42" s="7"/>
      <c r="S42" s="27"/>
      <c r="T42" s="26"/>
      <c r="U42" s="7"/>
      <c r="V42" s="7"/>
      <c r="W42" s="27"/>
      <c r="X42" s="26"/>
      <c r="Y42" s="7"/>
      <c r="Z42" s="7"/>
      <c r="AA42" s="27"/>
      <c r="AB42" s="26"/>
      <c r="AC42" s="7"/>
      <c r="AD42" s="7"/>
      <c r="AE42" s="27"/>
      <c r="AF42" s="26"/>
      <c r="AG42" s="7"/>
      <c r="AH42" s="7"/>
      <c r="AI42" s="27"/>
      <c r="AJ42" s="26"/>
      <c r="AK42" s="7"/>
      <c r="AL42" s="7"/>
      <c r="AM42" s="27"/>
      <c r="AN42" s="7"/>
      <c r="AO42" s="7"/>
      <c r="AP42" s="7"/>
      <c r="AQ42" s="7"/>
    </row>
    <row r="43" spans="1:43" ht="12.75">
      <c r="A43" s="2"/>
      <c r="B43" s="6"/>
      <c r="C43" s="50">
        <f>D7</f>
        <v>100</v>
      </c>
      <c r="D43" s="51">
        <f>E7</f>
        <v>5</v>
      </c>
      <c r="E43" s="2"/>
      <c r="F43" s="33" t="s">
        <v>168</v>
      </c>
      <c r="G43" s="7">
        <v>0</v>
      </c>
      <c r="H43" s="10">
        <v>0</v>
      </c>
      <c r="I43" s="2"/>
      <c r="J43" s="2"/>
      <c r="K43" s="2"/>
      <c r="L43" s="26">
        <f>L37-L40</f>
        <v>1.2821719434048493</v>
      </c>
      <c r="M43" s="7"/>
      <c r="N43" s="7">
        <f>L37+L40</f>
        <v>1.456704868604282</v>
      </c>
      <c r="O43" s="27"/>
      <c r="P43" s="26">
        <f>P37-P40</f>
        <v>1.1949054808051327</v>
      </c>
      <c r="Q43" s="7"/>
      <c r="R43" s="7">
        <f>P37+P40</f>
        <v>1.5439713312039987</v>
      </c>
      <c r="S43" s="27"/>
      <c r="T43" s="26">
        <f>T37-T40</f>
        <v>1.1076390182054163</v>
      </c>
      <c r="U43" s="7"/>
      <c r="V43" s="7">
        <f>T37+T40</f>
        <v>1.631237793803715</v>
      </c>
      <c r="W43" s="27"/>
      <c r="X43" s="26">
        <f>X37-X40</f>
        <v>1.0203725556056997</v>
      </c>
      <c r="Y43" s="7"/>
      <c r="Z43" s="7">
        <f>X37+X40</f>
        <v>1.7185042564034316</v>
      </c>
      <c r="AA43" s="27"/>
      <c r="AB43" s="26">
        <f>AB37-AB40</f>
        <v>0.9331060930059834</v>
      </c>
      <c r="AC43" s="7"/>
      <c r="AD43" s="7">
        <f>AB37+AB40</f>
        <v>1.805770719003148</v>
      </c>
      <c r="AE43" s="27"/>
      <c r="AF43" s="26">
        <f>AF37-AF40</f>
        <v>0.8458396304062669</v>
      </c>
      <c r="AG43" s="7"/>
      <c r="AH43" s="7">
        <f>AF37+AF40</f>
        <v>1.8930371816028644</v>
      </c>
      <c r="AI43" s="27"/>
      <c r="AJ43" s="26">
        <f>AJ37-AJ40</f>
        <v>0.7585731678065504</v>
      </c>
      <c r="AK43" s="7"/>
      <c r="AL43" s="7">
        <f>AJ37+AJ40</f>
        <v>1.980303644202581</v>
      </c>
      <c r="AM43" s="27"/>
      <c r="AN43" s="7"/>
      <c r="AO43" s="7"/>
      <c r="AP43" s="7"/>
      <c r="AQ43" s="7"/>
    </row>
    <row r="44" spans="1:43" ht="12.75">
      <c r="A44" s="2"/>
      <c r="B44" s="6"/>
      <c r="C44" s="50">
        <f>D28</f>
        <v>136.2981541403185</v>
      </c>
      <c r="D44" s="51">
        <f>E28</f>
        <v>21.80607051055301</v>
      </c>
      <c r="E44" s="2"/>
      <c r="F44" s="33" t="s">
        <v>169</v>
      </c>
      <c r="G44" s="7">
        <f>Tringle!$D13*1/8</f>
        <v>5</v>
      </c>
      <c r="H44" s="10">
        <f>IF(I6=-1,L56,N56)</f>
        <v>3.6874087118787253</v>
      </c>
      <c r="I44" s="2"/>
      <c r="J44" s="2"/>
      <c r="K44" s="2"/>
      <c r="L44" s="26" t="s">
        <v>5</v>
      </c>
      <c r="M44" s="7" t="s">
        <v>6</v>
      </c>
      <c r="N44" s="7" t="s">
        <v>5</v>
      </c>
      <c r="O44" s="27" t="s">
        <v>6</v>
      </c>
      <c r="P44" s="26" t="s">
        <v>5</v>
      </c>
      <c r="Q44" s="7" t="s">
        <v>6</v>
      </c>
      <c r="R44" s="7" t="s">
        <v>5</v>
      </c>
      <c r="S44" s="27" t="s">
        <v>6</v>
      </c>
      <c r="T44" s="26" t="s">
        <v>5</v>
      </c>
      <c r="U44" s="7" t="s">
        <v>6</v>
      </c>
      <c r="V44" s="7" t="s">
        <v>5</v>
      </c>
      <c r="W44" s="27" t="s">
        <v>6</v>
      </c>
      <c r="X44" s="26" t="s">
        <v>5</v>
      </c>
      <c r="Y44" s="7" t="s">
        <v>6</v>
      </c>
      <c r="Z44" s="7" t="s">
        <v>5</v>
      </c>
      <c r="AA44" s="27" t="s">
        <v>6</v>
      </c>
      <c r="AB44" s="26" t="s">
        <v>5</v>
      </c>
      <c r="AC44" s="7" t="s">
        <v>6</v>
      </c>
      <c r="AD44" s="7" t="s">
        <v>5</v>
      </c>
      <c r="AE44" s="27" t="s">
        <v>6</v>
      </c>
      <c r="AF44" s="26" t="s">
        <v>5</v>
      </c>
      <c r="AG44" s="7" t="s">
        <v>6</v>
      </c>
      <c r="AH44" s="7" t="s">
        <v>5</v>
      </c>
      <c r="AI44" s="27" t="s">
        <v>6</v>
      </c>
      <c r="AJ44" s="26" t="s">
        <v>5</v>
      </c>
      <c r="AK44" s="7" t="s">
        <v>6</v>
      </c>
      <c r="AL44" s="7" t="s">
        <v>5</v>
      </c>
      <c r="AM44" s="27" t="s">
        <v>6</v>
      </c>
      <c r="AN44" s="7"/>
      <c r="AO44" s="7"/>
      <c r="AP44" s="7"/>
      <c r="AQ44" s="7"/>
    </row>
    <row r="45" spans="1:43" ht="12.75">
      <c r="A45" s="2"/>
      <c r="B45" s="6" t="s">
        <v>29</v>
      </c>
      <c r="C45" s="50">
        <f>I18</f>
        <v>0</v>
      </c>
      <c r="D45" s="51">
        <f>J18</f>
        <v>0</v>
      </c>
      <c r="E45" s="2"/>
      <c r="F45" s="33" t="s">
        <v>170</v>
      </c>
      <c r="G45" s="7">
        <f>Tringle!$D13*2/8</f>
        <v>10</v>
      </c>
      <c r="H45" s="10">
        <f>IF(I6=-1,P56,R56)</f>
        <v>7.239454176945769</v>
      </c>
      <c r="K45" s="2"/>
      <c r="L45" s="26">
        <f>L32</f>
        <v>0</v>
      </c>
      <c r="M45" s="7">
        <f>M32</f>
        <v>0</v>
      </c>
      <c r="N45" s="7">
        <f>L32</f>
        <v>0</v>
      </c>
      <c r="O45" s="27">
        <f>M32</f>
        <v>0</v>
      </c>
      <c r="P45" s="26">
        <f>P32</f>
        <v>0</v>
      </c>
      <c r="Q45" s="7">
        <f>Q32</f>
        <v>0</v>
      </c>
      <c r="R45" s="7">
        <f>P32</f>
        <v>0</v>
      </c>
      <c r="S45" s="27">
        <f>Q32</f>
        <v>0</v>
      </c>
      <c r="T45" s="26">
        <f>T32</f>
        <v>0</v>
      </c>
      <c r="U45" s="7">
        <f>U32</f>
        <v>0</v>
      </c>
      <c r="V45" s="7">
        <f>T32</f>
        <v>0</v>
      </c>
      <c r="W45" s="27">
        <f>U32</f>
        <v>0</v>
      </c>
      <c r="X45" s="26">
        <f>X32</f>
        <v>0</v>
      </c>
      <c r="Y45" s="7">
        <f>Y32</f>
        <v>0</v>
      </c>
      <c r="Z45" s="7">
        <f>X32</f>
        <v>0</v>
      </c>
      <c r="AA45" s="27">
        <f>Y32</f>
        <v>0</v>
      </c>
      <c r="AB45" s="26">
        <f>AB32</f>
        <v>0</v>
      </c>
      <c r="AC45" s="7">
        <f>AC32</f>
        <v>0</v>
      </c>
      <c r="AD45" s="7">
        <f>AB32</f>
        <v>0</v>
      </c>
      <c r="AE45" s="27">
        <f>AC32</f>
        <v>0</v>
      </c>
      <c r="AF45" s="26">
        <f>AF32</f>
        <v>0</v>
      </c>
      <c r="AG45" s="7">
        <f>AG32</f>
        <v>0</v>
      </c>
      <c r="AH45" s="7">
        <f>AF32</f>
        <v>0</v>
      </c>
      <c r="AI45" s="27">
        <f>AG32</f>
        <v>0</v>
      </c>
      <c r="AJ45" s="26">
        <f>AJ32</f>
        <v>0</v>
      </c>
      <c r="AK45" s="7">
        <f>AK32</f>
        <v>0</v>
      </c>
      <c r="AL45" s="7">
        <f>AJ32</f>
        <v>0</v>
      </c>
      <c r="AM45" s="27">
        <f>AK32</f>
        <v>0</v>
      </c>
      <c r="AN45" s="7"/>
      <c r="AO45" s="7"/>
      <c r="AP45" s="7"/>
      <c r="AQ45" s="7"/>
    </row>
    <row r="46" spans="1:43" ht="12.75">
      <c r="A46" s="2"/>
      <c r="B46" s="6"/>
      <c r="C46" s="50">
        <f>I19</f>
        <v>-7.148876610934835</v>
      </c>
      <c r="D46" s="51">
        <f>J19</f>
        <v>-13.18687086467555</v>
      </c>
      <c r="E46" s="2"/>
      <c r="F46" s="33" t="s">
        <v>171</v>
      </c>
      <c r="G46" s="7">
        <f>Tringle!$D13*3/8</f>
        <v>15</v>
      </c>
      <c r="H46" s="10">
        <f>IF(I6=-1,T56,V56)</f>
        <v>10.643949619930542</v>
      </c>
      <c r="I46" s="2"/>
      <c r="J46" s="2"/>
      <c r="K46" s="2"/>
      <c r="L46" s="26">
        <f>Tringle!$D$7*COS(L43)</f>
        <v>4.269506681585466</v>
      </c>
      <c r="M46" s="7">
        <f>$I$5*Tringle!$D$7*SIN(L43)</f>
        <v>-14.379544940501319</v>
      </c>
      <c r="N46" s="7">
        <f>Tringle!$D$7*COS(N43)</f>
        <v>1.707661506965012</v>
      </c>
      <c r="O46" s="27">
        <f>$I$5*Tringle!$D$7*SIN(N43)</f>
        <v>-14.902479396987266</v>
      </c>
      <c r="P46" s="26">
        <f>Tringle!$D$7*COS(P43)</f>
        <v>5.506519839325447</v>
      </c>
      <c r="Q46" s="7">
        <f>$I$5*Tringle!$D$7*SIN(P43)</f>
        <v>-13.952714404699726</v>
      </c>
      <c r="R46" s="7">
        <f>Tringle!$D$7*COS(R43)</f>
        <v>0.40232667874780514</v>
      </c>
      <c r="S46" s="27">
        <f>$I$5*Tringle!$D$7*SIN(R43)</f>
        <v>-14.994603470701309</v>
      </c>
      <c r="T46" s="26">
        <f>Tringle!$D$7*COS(T43)</f>
        <v>6.701625056160574</v>
      </c>
      <c r="U46" s="7">
        <f>$I$5*Tringle!$D$7*SIN(T43)</f>
        <v>-13.419695287399069</v>
      </c>
      <c r="V46" s="7">
        <f>Tringle!$D$7*COS(V43)</f>
        <v>-0.9060700984261597</v>
      </c>
      <c r="W46" s="27">
        <f>$I$5*Tringle!$D$7*SIN(V43)</f>
        <v>-14.972609558014193</v>
      </c>
      <c r="X46" s="26">
        <f>Tringle!$D$7*COS(X43)</f>
        <v>7.845726859766476</v>
      </c>
      <c r="Y46" s="7">
        <f>$I$5*Tringle!$D$7*SIN(X43)</f>
        <v>-12.784544185927745</v>
      </c>
      <c r="Z46" s="7">
        <f>Tringle!$D$7*COS(Z43)</f>
        <v>-2.207571135051021</v>
      </c>
      <c r="AA46" s="27">
        <f>$I$5*Tringle!$D$7*SIN(Z43)</f>
        <v>-14.836665045881757</v>
      </c>
      <c r="AB46" s="26">
        <f>Tringle!$D$7*COS(AB43)</f>
        <v>8.93011794459015</v>
      </c>
      <c r="AC46" s="7">
        <f>$I$5*Tringle!$D$7*SIN(AB43)</f>
        <v>-12.052094983682672</v>
      </c>
      <c r="AD46" s="7">
        <f>Tringle!$D$7*COS(AD43)</f>
        <v>-3.492271222370245</v>
      </c>
      <c r="AE46" s="27">
        <f>$I$5*Tringle!$D$7*SIN(AD43)</f>
        <v>-14.587804554126869</v>
      </c>
      <c r="AF46" s="26">
        <f>Tringle!$D$7*COS(AF43)</f>
        <v>9.94654543970285</v>
      </c>
      <c r="AG46" s="7">
        <f>$I$5*Tringle!$D$7*SIN(AF43)</f>
        <v>-11.227922061357853</v>
      </c>
      <c r="AH46" s="7">
        <f>Tringle!$D$7*COS(AH43)</f>
        <v>-4.750393016996214</v>
      </c>
      <c r="AI46" s="27">
        <f>$I$5*Tringle!$D$7*SIN(AH43)</f>
        <v>-14.227922061357857</v>
      </c>
      <c r="AJ46" s="26">
        <f>Tringle!$D$7*COS(AJ43)</f>
        <v>10.887273718131071</v>
      </c>
      <c r="AK46" s="7">
        <f>$I$5*Tringle!$D$7*SIN(AJ43)</f>
        <v>-10.318297872541402</v>
      </c>
      <c r="AL46" s="7">
        <f>Tringle!$D$7*COS(AL43)</f>
        <v>-5.972361452397117</v>
      </c>
      <c r="AM46" s="27">
        <f>$I$5*Tringle!$D$7*SIN(AL43)</f>
        <v>-13.759756490647682</v>
      </c>
      <c r="AN46" s="7"/>
      <c r="AO46" s="7"/>
      <c r="AP46" s="7"/>
      <c r="AQ46" s="7"/>
    </row>
    <row r="47" spans="1:43" ht="12.75">
      <c r="A47" s="2"/>
      <c r="B47" s="6"/>
      <c r="C47" s="50">
        <f>I26</f>
        <v>85.75878288902979</v>
      </c>
      <c r="D47" s="51">
        <f>J26</f>
        <v>-9.042355044585971</v>
      </c>
      <c r="E47" s="2"/>
      <c r="F47" s="33" t="s">
        <v>172</v>
      </c>
      <c r="G47" s="7">
        <f>Tringle!$D13*4/8</f>
        <v>20</v>
      </c>
      <c r="H47" s="10">
        <f>IF(I6=-1,X56,Z56)</f>
        <v>13.886138484603595</v>
      </c>
      <c r="I47" s="2"/>
      <c r="J47" s="2"/>
      <c r="K47" s="2"/>
      <c r="L47" s="26"/>
      <c r="M47" s="7">
        <f>Tringle!$D$6/(SIN(L43))</f>
        <v>5.215742244301178</v>
      </c>
      <c r="N47" s="7"/>
      <c r="O47" s="27">
        <f>Tringle!$D$6/(SIN(N43))</f>
        <v>5.0327195899470425</v>
      </c>
      <c r="P47" s="26"/>
      <c r="Q47" s="7">
        <f>Tringle!$D$6/(SIN(P43))</f>
        <v>5.3752981552276</v>
      </c>
      <c r="R47" s="7"/>
      <c r="S47" s="27">
        <f>Tringle!$D$6/(SIN(R43))</f>
        <v>5.001799490499777</v>
      </c>
      <c r="T47" s="26"/>
      <c r="U47" s="7">
        <f>Tringle!$D$6/(SIN(T43))</f>
        <v>5.58880051996591</v>
      </c>
      <c r="V47" s="7"/>
      <c r="W47" s="27">
        <f>Tringle!$D$6/(SIN(V43))</f>
        <v>5.009146849745757</v>
      </c>
      <c r="X47" s="26"/>
      <c r="Y47" s="7">
        <f>Tringle!$D$6/(SIN(X43))</f>
        <v>5.8664586636224625</v>
      </c>
      <c r="Z47" s="7"/>
      <c r="AA47" s="27">
        <f>Tringle!$D$6/(SIN(Z43))</f>
        <v>5.055044362602086</v>
      </c>
      <c r="AB47" s="26"/>
      <c r="AC47" s="7">
        <f>Tringle!$D$6/(SIN(AB43))</f>
        <v>6.222984477100661</v>
      </c>
      <c r="AD47" s="7"/>
      <c r="AE47" s="27">
        <f>Tringle!$D$6/(SIN(AD43))</f>
        <v>5.14128083644928</v>
      </c>
      <c r="AF47" s="26"/>
      <c r="AG47" s="7">
        <f>Tringle!$D$6/(SIN(AF43))</f>
        <v>6.679775615660966</v>
      </c>
      <c r="AH47" s="7"/>
      <c r="AI47" s="27">
        <f>Tringle!$D$6/(SIN(AH43))</f>
        <v>5.271324911435612</v>
      </c>
      <c r="AJ47" s="26"/>
      <c r="AK47" s="7">
        <f>Tringle!$D$6/(SIN(AJ43))</f>
        <v>7.268640712494517</v>
      </c>
      <c r="AL47" s="7"/>
      <c r="AM47" s="27">
        <f>Tringle!$D$6/(SIN(AL43))</f>
        <v>5.450677855453073</v>
      </c>
      <c r="AN47" s="7"/>
      <c r="AO47" s="7"/>
      <c r="AP47" s="7"/>
      <c r="AQ47" s="7"/>
    </row>
    <row r="48" spans="1:43" ht="12.75">
      <c r="A48" s="2"/>
      <c r="B48" s="6"/>
      <c r="C48" s="50">
        <f>D7</f>
        <v>100</v>
      </c>
      <c r="D48" s="51">
        <f>E7</f>
        <v>5</v>
      </c>
      <c r="E48" s="2"/>
      <c r="F48" s="33" t="s">
        <v>173</v>
      </c>
      <c r="G48" s="7">
        <f>Tringle!$D13*5/8</f>
        <v>25</v>
      </c>
      <c r="H48" s="10">
        <f>IF(I6=-1,AB56,AD56)</f>
        <v>16.948636161527347</v>
      </c>
      <c r="I48" s="2"/>
      <c r="J48" s="2"/>
      <c r="K48" s="2"/>
      <c r="L48" s="26"/>
      <c r="M48" s="7">
        <f>SQRT((L34-L46)^2+(M34-M46)^2)</f>
        <v>97.67238152665225</v>
      </c>
      <c r="N48" s="7"/>
      <c r="O48" s="27">
        <f>SQRT((L34-N46)^2+(M34-O46)^2)</f>
        <v>100.28705047301408</v>
      </c>
      <c r="P48" s="26"/>
      <c r="Q48" s="7">
        <f>SQRT((P34-P46)^2+(Q34-Q46)^2)</f>
        <v>96.37542828014777</v>
      </c>
      <c r="R48" s="7"/>
      <c r="S48" s="27">
        <f>SQRT((P34-R46)^2+(Q34-S46)^2)</f>
        <v>101.58484482912523</v>
      </c>
      <c r="T48" s="26"/>
      <c r="U48" s="7">
        <f>SQRT((T34-T46)^2+(U34-U46)^2)</f>
        <v>95.09927413835436</v>
      </c>
      <c r="V48" s="7"/>
      <c r="W48" s="27">
        <f>SQRT((T34-V46)^2+(U34-W46)^2)</f>
        <v>102.8636967800855</v>
      </c>
      <c r="X48" s="26"/>
      <c r="Y48" s="7">
        <f>SQRT((X34-X46)^2+(Y34-Y46)^2)</f>
        <v>93.85467526930123</v>
      </c>
      <c r="Z48" s="7"/>
      <c r="AA48" s="27">
        <f>SQRT((X34-Z46)^2+(Y34-AA46)^2)</f>
        <v>104.11474860685695</v>
      </c>
      <c r="AB48" s="26"/>
      <c r="AC48" s="7">
        <f>SQRT((AB34-AB46)^2+(AC34-AC46)^2)</f>
        <v>92.65256262467216</v>
      </c>
      <c r="AD48" s="7"/>
      <c r="AE48" s="27">
        <f>SQRT((AB34-AD46)^2+(AC34-AE46)^2)</f>
        <v>105.32963633287319</v>
      </c>
      <c r="AF48" s="26"/>
      <c r="AG48" s="7">
        <f>SQRT((AF34-AF46)^2+(AG34-AG46)^2)</f>
        <v>91.50393506660252</v>
      </c>
      <c r="AH48" s="7"/>
      <c r="AI48" s="27">
        <f>SQRT((AF34-AH46)^2+(AG34-AI46)^2)</f>
        <v>106.50050621481958</v>
      </c>
      <c r="AJ48" s="26"/>
      <c r="AK48" s="7">
        <f>SQRT((AJ34-AJ46)^2+(AK34-AK46)^2)</f>
        <v>90.41973365974488</v>
      </c>
      <c r="AL48" s="7"/>
      <c r="AM48" s="27">
        <f>SQRT((AJ34-AL46)^2+(AK34-AM46)^2)</f>
        <v>107.62002534559217</v>
      </c>
      <c r="AN48" s="7"/>
      <c r="AO48" s="7"/>
      <c r="AP48" s="7"/>
      <c r="AQ48" s="7"/>
    </row>
    <row r="49" spans="1:43" ht="13.5" thickBot="1">
      <c r="A49" s="2"/>
      <c r="B49" s="8"/>
      <c r="C49" s="52">
        <f>I28</f>
        <v>133.21377056137445</v>
      </c>
      <c r="D49" s="53">
        <f>J28</f>
        <v>-17.29003017262148</v>
      </c>
      <c r="E49" s="2"/>
      <c r="F49" s="33" t="s">
        <v>174</v>
      </c>
      <c r="G49" s="7">
        <f>Tringle!$D13*6/8</f>
        <v>30</v>
      </c>
      <c r="H49" s="10">
        <f>IF(I6=-1,AF56,AH56)</f>
        <v>19.811381469170954</v>
      </c>
      <c r="I49" s="2"/>
      <c r="J49" s="2"/>
      <c r="K49" s="2"/>
      <c r="L49" s="26"/>
      <c r="M49" s="7">
        <f>ASIN((-$I$5*M47+Tringle!$D$7)*SIN(L43)/M48)</f>
        <v>0.19973924302670462</v>
      </c>
      <c r="N49" s="7"/>
      <c r="O49" s="27">
        <f>ASIN((-$I$5*O47+Tringle!$D$7)*SIN(N43)/O48)</f>
        <v>0.19978144498613845</v>
      </c>
      <c r="P49" s="26"/>
      <c r="Q49" s="7">
        <f>ASIN((-$I$5*Q47+Tringle!$D$7)*SIN(P43)/Q48)</f>
        <v>0.19794517478681425</v>
      </c>
      <c r="R49" s="7"/>
      <c r="S49" s="27">
        <f>ASIN((-$I$5*S47+Tringle!$D$7)*SIN(R43)/S48)</f>
        <v>0.19812018592494848</v>
      </c>
      <c r="T49" s="26"/>
      <c r="U49" s="7">
        <f>ASIN((-$I$5*U47+Tringle!$D$7)*SIN(T43)/U48)</f>
        <v>0.1949210961907733</v>
      </c>
      <c r="V49" s="7"/>
      <c r="W49" s="27">
        <f>ASIN((-$I$5*W47+Tringle!$D$7)*SIN(V43)/W48)</f>
        <v>0.19540697062746276</v>
      </c>
      <c r="X49" s="26"/>
      <c r="Y49" s="7">
        <f>ASIN((-$I$5*Y47+Tringle!$D$7)*SIN(X43)/Y48)</f>
        <v>0.19064294635902243</v>
      </c>
      <c r="Z49" s="7"/>
      <c r="AA49" s="27">
        <f>ASIN((-$I$5*AA47+Tringle!$D$7)*SIN(Z43)/AA48)</f>
        <v>0.19169889694125353</v>
      </c>
      <c r="AB49" s="26"/>
      <c r="AC49" s="7">
        <f>ASIN((-$I$5*AC47+Tringle!$D$7)*SIN(AB43)/AC48)</f>
        <v>0.18509857466979307</v>
      </c>
      <c r="AD49" s="7"/>
      <c r="AE49" s="27">
        <f>ASIN((-$I$5*AE47+Tringle!$D$7)*SIN(AD43)/AE48)</f>
        <v>0.18705563019334462</v>
      </c>
      <c r="AF49" s="26"/>
      <c r="AG49" s="7">
        <f>ASIN((-$I$5*AG47+Tringle!$D$7)*SIN(AF43)/AG48)</f>
        <v>0.17828976901921</v>
      </c>
      <c r="AH49" s="7"/>
      <c r="AI49" s="27">
        <f>ASIN((-$I$5*AI47+Tringle!$D$7)*SIN(AH43)/AI48)</f>
        <v>0.1815385066036898</v>
      </c>
      <c r="AJ49" s="26"/>
      <c r="AK49" s="7">
        <f>ASIN((-$I$5*AK47+Tringle!$D$7)*SIN(AJ43)/AK48)</f>
        <v>0.1702342483589094</v>
      </c>
      <c r="AL49" s="7"/>
      <c r="AM49" s="27">
        <f>ASIN((-$I$5*AM47+Tringle!$D$7)*SIN(AL43)/AM48)</f>
        <v>0.17520980845298784</v>
      </c>
      <c r="AN49" s="7"/>
      <c r="AO49" s="7"/>
      <c r="AP49" s="7"/>
      <c r="AQ49" s="7"/>
    </row>
    <row r="50" spans="1:43" ht="12.75">
      <c r="A50" s="2"/>
      <c r="B50" s="2"/>
      <c r="C50" s="49"/>
      <c r="D50" s="49"/>
      <c r="E50" s="2"/>
      <c r="F50" s="33" t="s">
        <v>175</v>
      </c>
      <c r="G50" s="7">
        <f>Tringle!$D13*7/8</f>
        <v>35</v>
      </c>
      <c r="H50" s="10">
        <f>IF(I6=-1,AJ56,AL56)</f>
        <v>22.451647096268076</v>
      </c>
      <c r="I50" s="2"/>
      <c r="J50" s="2"/>
      <c r="K50" s="2"/>
      <c r="L50" s="26"/>
      <c r="M50" s="7">
        <f>ACOS((Tringle!$D$9^2+M48^2-L39^2)/(2*Tringle!$D$9*M48))</f>
        <v>1.2340565858668677</v>
      </c>
      <c r="N50" s="7"/>
      <c r="O50" s="27">
        <f>ACOS((Tringle!$D$9^2+O48^2-L39^2)/(2*Tringle!$D$9*O48))</f>
        <v>1.1031053003749947</v>
      </c>
      <c r="P50" s="26"/>
      <c r="Q50" s="7">
        <f>ACOS((Tringle!$D$9^2+Q48^2-P39^2)/(2*Tringle!$D$9*Q48))</f>
        <v>1.2978455426527113</v>
      </c>
      <c r="R50" s="7"/>
      <c r="S50" s="27">
        <f>ACOS((Tringle!$D$9^2+S48^2-P39^2)/(2*Tringle!$D$9*S48))</f>
        <v>1.0361437042935053</v>
      </c>
      <c r="T50" s="26"/>
      <c r="U50" s="7">
        <f>ACOS((Tringle!$D$9^2+U48^2-T39^2)/(2*Tringle!$D$9*U48))</f>
        <v>1.3602892760979794</v>
      </c>
      <c r="V50" s="7"/>
      <c r="W50" s="27">
        <f>ACOS((Tringle!$D$9^2+W48^2-T39^2)/(2*Tringle!$D$9*W48))</f>
        <v>0.9682376290896958</v>
      </c>
      <c r="X50" s="26"/>
      <c r="Y50" s="7">
        <f>ACOS((Tringle!$D$9^2+Y48^2-X39^2)/(2*Tringle!$D$9*Y48))</f>
        <v>1.4211542965897719</v>
      </c>
      <c r="Z50" s="7"/>
      <c r="AA50" s="27">
        <f>ACOS((Tringle!$D$9^2+AA48^2-X39^2)/(2*Tringle!$D$9*AA48))</f>
        <v>0.8993499560700777</v>
      </c>
      <c r="AB50" s="26"/>
      <c r="AC50" s="7">
        <f>ACOS((Tringle!$D$9^2+AC48^2-AB39^2)/(2*Tringle!$D$9*AC48))</f>
        <v>1.4801493360759983</v>
      </c>
      <c r="AD50" s="7"/>
      <c r="AE50" s="27">
        <f>ACOS((Tringle!$D$9^2+AE48^2-AB39^2)/(2*Tringle!$D$9*AE48))</f>
        <v>0.8293741136432089</v>
      </c>
      <c r="AF50" s="26"/>
      <c r="AG50" s="7">
        <f>ACOS((Tringle!$D$9^2+AG48^2-AF39^2)/(2*Tringle!$D$9*AG48))</f>
        <v>1.5369224729909803</v>
      </c>
      <c r="AH50" s="7"/>
      <c r="AI50" s="27">
        <f>ACOS((Tringle!$D$9^2+AI48^2-AF39^2)/(2*Tringle!$D$9*AI48))</f>
        <v>0.7581133301626121</v>
      </c>
      <c r="AJ50" s="26"/>
      <c r="AK50" s="7">
        <f>ACOS((Tringle!$D$9^2+AK48^2-AJ39^2)/(2*Tringle!$D$9*AK48))</f>
        <v>1.5910593219713585</v>
      </c>
      <c r="AL50" s="7"/>
      <c r="AM50" s="27">
        <f>ACOS((Tringle!$D$9^2+AM48^2-AJ39^2)/(2*Tringle!$D$9*AM48))</f>
        <v>0.6852423878330693</v>
      </c>
      <c r="AN50" s="7"/>
      <c r="AO50" s="7"/>
      <c r="AP50" s="7"/>
      <c r="AQ50" s="7"/>
    </row>
    <row r="51" spans="1:43" ht="13.5" thickBot="1">
      <c r="A51" s="2"/>
      <c r="B51" s="2"/>
      <c r="C51" s="54">
        <f>MIN(C35:C49)</f>
        <v>-7.148876610934835</v>
      </c>
      <c r="D51" s="54">
        <f>MIN(D35:D49)</f>
        <v>-17.29003017262148</v>
      </c>
      <c r="E51" s="2"/>
      <c r="F51" s="34" t="s">
        <v>176</v>
      </c>
      <c r="G51" s="9">
        <f>Tringle!$D13</f>
        <v>40</v>
      </c>
      <c r="H51" s="11">
        <f>Tringle!$D$18</f>
        <v>24.844169276407534</v>
      </c>
      <c r="I51" s="2"/>
      <c r="J51" s="2"/>
      <c r="K51" s="2"/>
      <c r="L51" s="26"/>
      <c r="M51" s="7">
        <f>$I$6*PI()-$I$6*M50-$I$5*M49</f>
        <v>-1.7077968246962207</v>
      </c>
      <c r="N51" s="7"/>
      <c r="O51" s="27">
        <f>$I$6*PI()-$I$6*O50-$I$5*O49</f>
        <v>-1.8387059082286603</v>
      </c>
      <c r="P51" s="26"/>
      <c r="Q51" s="7">
        <f>$I$6*PI()-$I$6*Q50-$I$5*Q49</f>
        <v>-1.6458019361502676</v>
      </c>
      <c r="R51" s="7"/>
      <c r="S51" s="27">
        <f>$I$6*PI()-$I$6*S50-$I$5*S49</f>
        <v>-1.9073287633713394</v>
      </c>
      <c r="T51" s="26"/>
      <c r="U51" s="7">
        <f>$I$6*PI()-$I$6*U50-$I$5*U49</f>
        <v>-1.5863822813010404</v>
      </c>
      <c r="V51" s="7"/>
      <c r="W51" s="27">
        <f>$I$6*PI()-$I$6*W50-$I$5*W49</f>
        <v>-1.9779480538726346</v>
      </c>
      <c r="X51" s="26"/>
      <c r="Y51" s="7">
        <f>$I$6*PI()-$I$6*Y50-$I$5*Y49</f>
        <v>-1.5297954106409988</v>
      </c>
      <c r="Z51" s="7"/>
      <c r="AA51" s="27">
        <f>$I$6*PI()-$I$6*AA50-$I$5*AA49</f>
        <v>-2.050543800578462</v>
      </c>
      <c r="AB51" s="26"/>
      <c r="AC51" s="7">
        <f>$I$6*PI()-$I$6*AC50-$I$5*AC49</f>
        <v>-1.4763447428440017</v>
      </c>
      <c r="AD51" s="7"/>
      <c r="AE51" s="27">
        <f>$I$6*PI()-$I$6*AE50-$I$5*AE49</f>
        <v>-2.1251629097532394</v>
      </c>
      <c r="AF51" s="26"/>
      <c r="AG51" s="7">
        <f>$I$6*PI()-$I$6*AG50-$I$5*AG49</f>
        <v>-1.4263804115796028</v>
      </c>
      <c r="AH51" s="7"/>
      <c r="AI51" s="27">
        <f>$I$6*PI()-$I$6*AI50-$I$5*AI49</f>
        <v>-2.201940816823491</v>
      </c>
      <c r="AJ51" s="26"/>
      <c r="AK51" s="7">
        <f>$I$6*PI()-$I$6*AK50-$I$5*AK49</f>
        <v>-1.3802990832595252</v>
      </c>
      <c r="AL51" s="7"/>
      <c r="AM51" s="27">
        <f>$I$6*PI()-$I$6*AM50-$I$5*AM49</f>
        <v>-2.281140457303736</v>
      </c>
      <c r="AN51" s="7"/>
      <c r="AO51" s="7"/>
      <c r="AP51" s="7"/>
      <c r="AQ51" s="7"/>
    </row>
    <row r="52" spans="1:43" ht="12.75">
      <c r="A52" s="2"/>
      <c r="B52" s="2"/>
      <c r="C52" s="54">
        <f>MAX(C35:C49)</f>
        <v>140</v>
      </c>
      <c r="D52" s="54">
        <f>MAX(D35:D49)</f>
        <v>21.80607051055301</v>
      </c>
      <c r="E52" s="2"/>
      <c r="F52" s="2"/>
      <c r="G52" s="2"/>
      <c r="H52" s="2"/>
      <c r="I52" s="2"/>
      <c r="J52" s="2"/>
      <c r="K52" s="2"/>
      <c r="L52" s="26" t="s">
        <v>5</v>
      </c>
      <c r="M52" s="7" t="s">
        <v>6</v>
      </c>
      <c r="N52" s="7" t="s">
        <v>5</v>
      </c>
      <c r="O52" s="27" t="s">
        <v>6</v>
      </c>
      <c r="P52" s="26" t="s">
        <v>5</v>
      </c>
      <c r="Q52" s="7" t="s">
        <v>6</v>
      </c>
      <c r="R52" s="7" t="s">
        <v>5</v>
      </c>
      <c r="S52" s="27" t="s">
        <v>6</v>
      </c>
      <c r="T52" s="26" t="s">
        <v>5</v>
      </c>
      <c r="U52" s="7" t="s">
        <v>6</v>
      </c>
      <c r="V52" s="7" t="s">
        <v>5</v>
      </c>
      <c r="W52" s="27" t="s">
        <v>6</v>
      </c>
      <c r="X52" s="26" t="s">
        <v>5</v>
      </c>
      <c r="Y52" s="7" t="s">
        <v>6</v>
      </c>
      <c r="Z52" s="7" t="s">
        <v>5</v>
      </c>
      <c r="AA52" s="27" t="s">
        <v>6</v>
      </c>
      <c r="AB52" s="26" t="s">
        <v>5</v>
      </c>
      <c r="AC52" s="7" t="s">
        <v>6</v>
      </c>
      <c r="AD52" s="7" t="s">
        <v>5</v>
      </c>
      <c r="AE52" s="27" t="s">
        <v>6</v>
      </c>
      <c r="AF52" s="26" t="s">
        <v>5</v>
      </c>
      <c r="AG52" s="7" t="s">
        <v>6</v>
      </c>
      <c r="AH52" s="7" t="s">
        <v>5</v>
      </c>
      <c r="AI52" s="27" t="s">
        <v>6</v>
      </c>
      <c r="AJ52" s="26" t="s">
        <v>5</v>
      </c>
      <c r="AK52" s="7" t="s">
        <v>6</v>
      </c>
      <c r="AL52" s="7" t="s">
        <v>5</v>
      </c>
      <c r="AM52" s="27" t="s">
        <v>6</v>
      </c>
      <c r="AN52" s="7"/>
      <c r="AO52" s="7"/>
      <c r="AP52" s="7"/>
      <c r="AQ52" s="7"/>
    </row>
    <row r="53" spans="2:43" ht="12.75">
      <c r="B53" s="60"/>
      <c r="C53" s="56">
        <f>MAX(-D51,D52)*2.5*2</f>
        <v>109.03035255276505</v>
      </c>
      <c r="D53" s="57">
        <f>C52/2.5/2</f>
        <v>28</v>
      </c>
      <c r="L53" s="26">
        <f>L34+Tringle!$D$9*COS(M51)</f>
        <v>97.2685532719184</v>
      </c>
      <c r="M53" s="7">
        <f>M34+Tringle!$D$9*SIN(M51)</f>
        <v>-14.812602019211216</v>
      </c>
      <c r="N53" s="7">
        <f>L34+Tringle!$D$9*COS(O51)</f>
        <v>94.70567658414325</v>
      </c>
      <c r="O53" s="27">
        <f>M34+Tringle!$D$9*SIN(O51)</f>
        <v>-14.286527410819993</v>
      </c>
      <c r="P53" s="26">
        <f>P34+Tringle!$D$9*COS(Q51)</f>
        <v>98.50129398283967</v>
      </c>
      <c r="Q53" s="7">
        <f>Q34+Tringle!$D$9*SIN(Q51)</f>
        <v>-14.943767955783265</v>
      </c>
      <c r="R53" s="7">
        <f>P34+Tringle!$D$9*COS(S51)</f>
        <v>93.3956793565061</v>
      </c>
      <c r="S53" s="27">
        <f>Q34+Tringle!$D$9*SIN(S51)</f>
        <v>-13.878107660407071</v>
      </c>
      <c r="T53" s="26">
        <f>T34+Tringle!$D$9*COS(U51)</f>
        <v>99.68829353029349</v>
      </c>
      <c r="U53" s="7">
        <f>U34+Tringle!$D$9*SIN(U51)</f>
        <v>-14.997570829396832</v>
      </c>
      <c r="V53" s="7">
        <f>T34+Tringle!$D$9*COS(W51)</f>
        <v>92.08008991558532</v>
      </c>
      <c r="W53" s="27">
        <f>U34+Tringle!$D$9*SIN(W51)</f>
        <v>-13.36504898590762</v>
      </c>
      <c r="X53" s="26">
        <f>X34+Tringle!$D$9*COS(Y51)</f>
        <v>100.81978859032115</v>
      </c>
      <c r="Y53" s="7">
        <f>Y34+Tringle!$D$9*SIN(Y51)</f>
        <v>-14.983191603624764</v>
      </c>
      <c r="Z53" s="7">
        <f>X34+Tringle!$D$9*COS(AA51)</f>
        <v>90.76889657303389</v>
      </c>
      <c r="AA53" s="27">
        <f>Y34+Tringle!$D$9*SIN(AA51)</f>
        <v>-12.742230116889317</v>
      </c>
      <c r="AB53" s="26">
        <f>AB34+Tringle!$D$9*COS(AC51)</f>
        <v>101.88622422429941</v>
      </c>
      <c r="AC53" s="7">
        <f>AC34+Tringle!$D$9*SIN(AC51)</f>
        <v>-14.910855284885834</v>
      </c>
      <c r="AD53" s="7">
        <f>AB34+Tringle!$D$9*COS(AE51)</f>
        <v>89.47190293785239</v>
      </c>
      <c r="AE53" s="27">
        <f>AC34+Tringle!$D$9*SIN(AE51)</f>
        <v>-12.00468089233076</v>
      </c>
      <c r="AF53" s="26">
        <f>AF34+Tringle!$D$9*COS(AG51)</f>
        <v>102.87828899504464</v>
      </c>
      <c r="AG53" s="7">
        <f>AG34+Tringle!$D$9*SIN(AG51)</f>
        <v>-14.791802658196772</v>
      </c>
      <c r="AH53" s="7">
        <f>AF34+Tringle!$D$9*COS(AI51)</f>
        <v>88.19861697362603</v>
      </c>
      <c r="AI53" s="27">
        <f>AG34+Tringle!$D$9*SIN(AI51)</f>
        <v>-11.147054179162595</v>
      </c>
      <c r="AJ53" s="26">
        <f>AJ34+Tringle!$D$9*COS(AK51)</f>
        <v>103.78694333732422</v>
      </c>
      <c r="AK53" s="7">
        <f>AK34+Tringle!$D$9*SIN(AK51)</f>
        <v>-14.638204097113764</v>
      </c>
      <c r="AL53" s="7">
        <f>AJ34+Tringle!$D$9*COS(AM51)</f>
        <v>86.9581058424463</v>
      </c>
      <c r="AM53" s="27">
        <f>AK34+Tringle!$D$9*SIN(AM51)</f>
        <v>-10.162750304056543</v>
      </c>
      <c r="AN53" s="7"/>
      <c r="AO53" s="7"/>
      <c r="AP53" s="7"/>
      <c r="AQ53" s="7"/>
    </row>
    <row r="54" spans="2:43" ht="12.75">
      <c r="B54" s="60"/>
      <c r="C54" s="58">
        <v>0</v>
      </c>
      <c r="D54" s="55">
        <f>-D53</f>
        <v>-28</v>
      </c>
      <c r="L54" s="26">
        <f>M51-$I$6*L38</f>
        <v>0.0643574228890067</v>
      </c>
      <c r="M54" s="7"/>
      <c r="N54" s="7">
        <f>O51-$I$6*L38</f>
        <v>-0.06655166064343288</v>
      </c>
      <c r="O54" s="27"/>
      <c r="P54" s="26">
        <f>Q51-$I$6*P38</f>
        <v>0.12635231143495984</v>
      </c>
      <c r="Q54" s="7"/>
      <c r="R54" s="7">
        <f>S51-$I$6*P38</f>
        <v>-0.13517451578611195</v>
      </c>
      <c r="S54" s="27"/>
      <c r="T54" s="26">
        <f>U51-$I$6*T38</f>
        <v>0.18577196628418702</v>
      </c>
      <c r="U54" s="7"/>
      <c r="V54" s="7">
        <f>W51-$I$6*T38</f>
        <v>-0.20579380628740718</v>
      </c>
      <c r="W54" s="27"/>
      <c r="X54" s="26">
        <f>Y51-$I$6*X38</f>
        <v>0.24235883694422866</v>
      </c>
      <c r="Y54" s="7"/>
      <c r="Z54" s="7">
        <f>AA51-$I$6*X38</f>
        <v>-0.27838955299323453</v>
      </c>
      <c r="AA54" s="27"/>
      <c r="AB54" s="26">
        <f>AC51-$I$6*AB38</f>
        <v>0.2958095047412257</v>
      </c>
      <c r="AC54" s="7"/>
      <c r="AD54" s="7">
        <f>AE51-$I$6*AB38</f>
        <v>-0.35300866216801197</v>
      </c>
      <c r="AE54" s="27"/>
      <c r="AF54" s="26">
        <f>AG51-$I$6*AF38</f>
        <v>0.3457738360056246</v>
      </c>
      <c r="AG54" s="7"/>
      <c r="AH54" s="7">
        <f>AI51-$I$6*AF38</f>
        <v>-0.42978656923826364</v>
      </c>
      <c r="AI54" s="27"/>
      <c r="AJ54" s="26">
        <f>AK51-$I$6*AJ38</f>
        <v>0.3918551643257022</v>
      </c>
      <c r="AK54" s="7"/>
      <c r="AL54" s="7">
        <f>AM51-$I$6*AJ38</f>
        <v>-0.5089862097185085</v>
      </c>
      <c r="AM54" s="27"/>
      <c r="AN54" s="7"/>
      <c r="AO54" s="7"/>
      <c r="AP54" s="7"/>
      <c r="AQ54" s="7"/>
    </row>
    <row r="55" spans="2:43" ht="12.75">
      <c r="B55" s="60"/>
      <c r="D55" s="59"/>
      <c r="L55" s="26">
        <f>L34+Tringle!$D$11*COS(L54)</f>
        <v>139.91719103035516</v>
      </c>
      <c r="M55" s="7">
        <f>M34+Tringle!$D$11*SIN(L54)</f>
        <v>7.572520212968865</v>
      </c>
      <c r="N55" s="7">
        <f>L34+Tringle!$D$11*COS(N54)</f>
        <v>139.91145021971084</v>
      </c>
      <c r="O55" s="27">
        <f>M34+Tringle!$D$11*SIN(N54)</f>
        <v>2.3398982426336588</v>
      </c>
      <c r="P55" s="26">
        <f>P34+Tringle!$D$11*COS(P54)</f>
        <v>139.6811264389753</v>
      </c>
      <c r="Q55" s="7">
        <f>Q34+Tringle!$D$11*SIN(P54)</f>
        <v>10.04065516912799</v>
      </c>
      <c r="R55" s="7">
        <f>P34+Tringle!$D$11*COS(R54)</f>
        <v>139.6351131192565</v>
      </c>
      <c r="S55" s="27">
        <f>Q34+Tringle!$D$11*SIN(R54)</f>
        <v>-0.3905294752688002</v>
      </c>
      <c r="T55" s="26">
        <f>T34+Tringle!$D$11*COS(T54)</f>
        <v>139.3117582896327</v>
      </c>
      <c r="U55" s="7">
        <f>U34+Tringle!$D$11*SIN(T54)</f>
        <v>12.388210891514525</v>
      </c>
      <c r="V55" s="7">
        <f>T34+Tringle!$D$11*COS(V54)</f>
        <v>139.15596332711894</v>
      </c>
      <c r="W55" s="27">
        <f>U34+Tringle!$D$11*SIN(V54)</f>
        <v>-3.1737712180680138</v>
      </c>
      <c r="X55" s="26">
        <f>X34+Tringle!$D$11*COS(X54)</f>
        <v>138.83098285279138</v>
      </c>
      <c r="Y55" s="7">
        <f>Y34+Tringle!$D$11*SIN(X54)</f>
        <v>14.599727636043777</v>
      </c>
      <c r="Z55" s="7">
        <f>X34+Tringle!$D$11*COS(Z54)</f>
        <v>138.4599699191218</v>
      </c>
      <c r="AA55" s="27">
        <f>Y34+Tringle!$D$11*SIN(Z54)</f>
        <v>-5.992302480383602</v>
      </c>
      <c r="AB55" s="26">
        <f>AB34+Tringle!$D$11*COS(AB54)</f>
        <v>138.26265894257472</v>
      </c>
      <c r="AC55" s="7">
        <f>AC34+Tringle!$D$11*SIN(AB54)</f>
        <v>16.660571625962774</v>
      </c>
      <c r="AD55" s="7">
        <f>AB34+Tringle!$D$11*COS(AD54)</f>
        <v>137.53347196491129</v>
      </c>
      <c r="AE55" s="27">
        <f>AC34+Tringle!$D$11*SIN(AD54)</f>
        <v>-8.828900254872718</v>
      </c>
      <c r="AF55" s="26">
        <f>AF34+Tringle!$D$11*COS(AF54)</f>
        <v>137.6325384839356</v>
      </c>
      <c r="AG55" s="7">
        <f>AG34+Tringle!$D$11*SIN(AF54)</f>
        <v>18.556992559380756</v>
      </c>
      <c r="AH55" s="7">
        <f>AF34+Tringle!$D$11*COS(AH54)</f>
        <v>136.362188080968</v>
      </c>
      <c r="AI55" s="27">
        <f>AG34+Tringle!$D$11*SIN(AH54)</f>
        <v>-11.667071667341805</v>
      </c>
      <c r="AJ55" s="26">
        <f>AJ34+Tringle!$D$11*COS(AJ54)</f>
        <v>136.9680862671205</v>
      </c>
      <c r="AK55" s="7">
        <f>AK34+Tringle!$D$11*SIN(AJ54)</f>
        <v>20.27614472786691</v>
      </c>
      <c r="AL55" s="7">
        <f>AJ34+Tringle!$D$11*COS(AL54)</f>
        <v>134.9295587367567</v>
      </c>
      <c r="AM55" s="27">
        <f>AK34+Tringle!$D$11*SIN(AL54)</f>
        <v>-14.491688650690687</v>
      </c>
      <c r="AN55" s="7"/>
      <c r="AO55" s="7"/>
      <c r="AP55" s="7"/>
      <c r="AQ55" s="7"/>
    </row>
    <row r="56" spans="2:43" ht="12.75">
      <c r="B56" s="60"/>
      <c r="D56" s="59"/>
      <c r="L56" s="26">
        <f>-Tringle!$D$12+DEGREES(L54)</f>
        <v>3.6874087118787253</v>
      </c>
      <c r="M56" s="7"/>
      <c r="N56" s="7">
        <f>-Tringle!$D$12+DEGREES(N54)</f>
        <v>-3.8131292744556085</v>
      </c>
      <c r="O56" s="27"/>
      <c r="P56" s="26">
        <f>-Tringle!$D$12+DEGREES(P54)</f>
        <v>7.239454176945769</v>
      </c>
      <c r="Q56" s="7"/>
      <c r="R56" s="7">
        <f>-Tringle!$D$12+DEGREES(R54)</f>
        <v>-7.744929252268736</v>
      </c>
      <c r="S56" s="27"/>
      <c r="T56" s="26">
        <f>-Tringle!$D$12+DEGREES(T54)</f>
        <v>10.643949619930542</v>
      </c>
      <c r="U56" s="7"/>
      <c r="V56" s="7">
        <f>-Tringle!$D$12+DEGREES(V54)</f>
        <v>-11.791116550201256</v>
      </c>
      <c r="W56" s="27"/>
      <c r="X56" s="26">
        <f>-Tringle!$D$12+DEGREES(X54)</f>
        <v>13.886138484603595</v>
      </c>
      <c r="Y56" s="7"/>
      <c r="Z56" s="7">
        <f>-Tringle!$D$12+DEGREES(Z54)</f>
        <v>-15.950546447045912</v>
      </c>
      <c r="AA56" s="27"/>
      <c r="AB56" s="26">
        <f>-Tringle!$D$12+DEGREES(AB54)</f>
        <v>16.948636161527347</v>
      </c>
      <c r="AC56" s="7"/>
      <c r="AD56" s="7">
        <f>-Tringle!$D$12+DEGREES(AD54)</f>
        <v>-20.22590647378658</v>
      </c>
      <c r="AE56" s="27"/>
      <c r="AF56" s="26">
        <f>-Tringle!$D$12+DEGREES(AF54)</f>
        <v>19.811381469170954</v>
      </c>
      <c r="AG56" s="7"/>
      <c r="AH56" s="7">
        <f>-Tringle!$D$12+DEGREES(AH54)</f>
        <v>-24.62495650875964</v>
      </c>
      <c r="AI56" s="27"/>
      <c r="AJ56" s="26">
        <f>-Tringle!$D$12+DEGREES(AJ54)</f>
        <v>22.451647096268076</v>
      </c>
      <c r="AK56" s="7"/>
      <c r="AL56" s="7">
        <f>-Tringle!$D$12+DEGREES(AL54)</f>
        <v>-29.162761647231143</v>
      </c>
      <c r="AM56" s="27"/>
      <c r="AN56" s="7"/>
      <c r="AO56" s="7"/>
      <c r="AP56" s="7"/>
      <c r="AQ56" s="7"/>
    </row>
    <row r="57" spans="12:43" ht="12.75">
      <c r="L57" s="28">
        <f>SQRT((L36-L55)^2+(M36-M55)^2)</f>
        <v>2.5738526709170855</v>
      </c>
      <c r="M57" s="29"/>
      <c r="N57" s="29">
        <f>SQRT((L36-N55)^2+(M36-O55)^2)</f>
        <v>2.661575177058269</v>
      </c>
      <c r="O57" s="30"/>
      <c r="P57" s="28">
        <f>SQRT((P36-P55)^2+(Q36-Q55)^2)</f>
        <v>5.050731123508488</v>
      </c>
      <c r="Q57" s="29"/>
      <c r="R57" s="29">
        <f>SQRT((P36-R55)^2+(Q36-S55)^2)</f>
        <v>5.402865023252057</v>
      </c>
      <c r="S57" s="30"/>
      <c r="T57" s="28">
        <f>SQRT((T36-T55)^2+(U36-U55)^2)</f>
        <v>7.420197896915092</v>
      </c>
      <c r="U57" s="29"/>
      <c r="V57" s="29">
        <f>SQRT((T36-V55)^2+(U36-W55)^2)</f>
        <v>8.217233952522296</v>
      </c>
      <c r="W57" s="30"/>
      <c r="X57" s="28">
        <f>SQRT((X36-X55)^2+(Y36-Y55)^2)</f>
        <v>9.670644848027996</v>
      </c>
      <c r="Y57" s="29"/>
      <c r="Z57" s="29">
        <f>SQRT((X36-Z55)^2+(Y36-AA55)^2)</f>
        <v>11.099657943840308</v>
      </c>
      <c r="AA57" s="30"/>
      <c r="AB57" s="28">
        <f>SQRT((AB36-AB55)^2+(AC36-AC55)^2)</f>
        <v>11.78928685688934</v>
      </c>
      <c r="AC57" s="29"/>
      <c r="AD57" s="29">
        <f>SQRT((AB36-AD55)^2+(AC36-AE55)^2)</f>
        <v>14.047143581778371</v>
      </c>
      <c r="AE57" s="30"/>
      <c r="AF57" s="28">
        <f>SQRT((AF36-AF55)^2+(AG36-AG55)^2)</f>
        <v>13.76215540114088</v>
      </c>
      <c r="AG57" s="29"/>
      <c r="AH57" s="29">
        <f>SQRT((AF36-AH55)^2+(AG36-AI55)^2)</f>
        <v>17.059453494252367</v>
      </c>
      <c r="AI57" s="30"/>
      <c r="AJ57" s="28">
        <f>SQRT((AJ36-AJ55)^2+(AK36-AK55)^2)</f>
        <v>15.574116303352795</v>
      </c>
      <c r="AK57" s="29"/>
      <c r="AL57" s="29">
        <f>SQRT((AJ36-AL55)^2+(AK36-AM55)^2)</f>
        <v>20.140389794129224</v>
      </c>
      <c r="AM57" s="30"/>
      <c r="AN57" s="7"/>
      <c r="AO57" s="7"/>
      <c r="AP57" s="7"/>
      <c r="AQ57" s="7"/>
    </row>
  </sheetData>
  <mergeCells count="8">
    <mergeCell ref="AB2:AE2"/>
    <mergeCell ref="AF2:AI2"/>
    <mergeCell ref="AJ2:AM2"/>
    <mergeCell ref="AN2:AQ2"/>
    <mergeCell ref="L2:O2"/>
    <mergeCell ref="P2:S2"/>
    <mergeCell ref="T2:W2"/>
    <mergeCell ref="X2:AA2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A1:AR79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3" max="3" width="11.57421875" style="0" bestFit="1" customWidth="1"/>
    <col min="4" max="4" width="7.28125" style="0" bestFit="1" customWidth="1"/>
    <col min="5" max="5" width="7.00390625" style="0" bestFit="1" customWidth="1"/>
    <col min="6" max="6" width="7.57421875" style="0" bestFit="1" customWidth="1"/>
    <col min="7" max="7" width="11.57421875" style="0" bestFit="1" customWidth="1"/>
    <col min="9" max="9" width="6.8515625" style="0" bestFit="1" customWidth="1"/>
    <col min="10" max="11" width="7.57421875" style="0" bestFit="1" customWidth="1"/>
    <col min="12" max="12" width="6.140625" style="0" customWidth="1"/>
    <col min="13" max="13" width="7.28125" style="0" bestFit="1" customWidth="1"/>
    <col min="14" max="14" width="7.00390625" style="0" bestFit="1" customWidth="1"/>
    <col min="15" max="15" width="11.28125" style="0" bestFit="1" customWidth="1"/>
    <col min="16" max="16" width="7.140625" style="0" bestFit="1" customWidth="1"/>
    <col min="17" max="17" width="7.28125" style="0" bestFit="1" customWidth="1"/>
    <col min="18" max="18" width="7.00390625" style="0" bestFit="1" customWidth="1"/>
    <col min="19" max="19" width="6.8515625" style="0" bestFit="1" customWidth="1"/>
    <col min="20" max="20" width="6.28125" style="0" bestFit="1" customWidth="1"/>
    <col min="21" max="21" width="7.57421875" style="0" bestFit="1" customWidth="1"/>
    <col min="22" max="22" width="7.28125" style="0" bestFit="1" customWidth="1"/>
    <col min="23" max="23" width="6.8515625" style="0" bestFit="1" customWidth="1"/>
    <col min="24" max="24" width="6.28125" style="0" bestFit="1" customWidth="1"/>
    <col min="25" max="25" width="7.28125" style="0" bestFit="1" customWidth="1"/>
    <col min="26" max="26" width="7.00390625" style="0" bestFit="1" customWidth="1"/>
    <col min="27" max="27" width="6.8515625" style="0" bestFit="1" customWidth="1"/>
    <col min="28" max="28" width="6.28125" style="0" bestFit="1" customWidth="1"/>
    <col min="29" max="29" width="7.28125" style="0" bestFit="1" customWidth="1"/>
    <col min="30" max="30" width="7.00390625" style="0" bestFit="1" customWidth="1"/>
    <col min="31" max="31" width="6.8515625" style="0" bestFit="1" customWidth="1"/>
    <col min="32" max="32" width="6.28125" style="0" bestFit="1" customWidth="1"/>
    <col min="33" max="33" width="7.57421875" style="0" bestFit="1" customWidth="1"/>
    <col min="34" max="34" width="7.28125" style="0" bestFit="1" customWidth="1"/>
    <col min="35" max="35" width="6.8515625" style="0" bestFit="1" customWidth="1"/>
    <col min="36" max="36" width="6.28125" style="0" bestFit="1" customWidth="1"/>
    <col min="37" max="37" width="7.28125" style="0" bestFit="1" customWidth="1"/>
    <col min="38" max="38" width="7.00390625" style="0" bestFit="1" customWidth="1"/>
    <col min="39" max="39" width="6.8515625" style="0" bestFit="1" customWidth="1"/>
    <col min="40" max="40" width="6.28125" style="0" bestFit="1" customWidth="1"/>
    <col min="41" max="41" width="7.28125" style="0" bestFit="1" customWidth="1"/>
    <col min="42" max="42" width="7.00390625" style="0" bestFit="1" customWidth="1"/>
    <col min="43" max="43" width="6.8515625" style="0" bestFit="1" customWidth="1"/>
    <col min="44" max="44" width="6.28125" style="0" bestFit="1" customWidth="1"/>
  </cols>
  <sheetData>
    <row r="1" spans="1:17" ht="13.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7"/>
      <c r="M1" s="7"/>
      <c r="N1" s="7"/>
      <c r="O1" s="7"/>
      <c r="P1" s="2"/>
      <c r="Q1" s="2"/>
    </row>
    <row r="2" spans="1:44" ht="12.75">
      <c r="A2" s="1"/>
      <c r="B2" s="1" t="s">
        <v>105</v>
      </c>
      <c r="C2" s="1"/>
      <c r="D2" s="12" t="s">
        <v>5</v>
      </c>
      <c r="E2" s="12" t="s">
        <v>6</v>
      </c>
      <c r="F2" s="1"/>
      <c r="G2" s="1"/>
      <c r="H2" s="1"/>
      <c r="I2" s="1"/>
      <c r="J2" s="1"/>
      <c r="K2" s="1"/>
      <c r="L2" s="1"/>
      <c r="M2" s="35" t="s">
        <v>5</v>
      </c>
      <c r="N2" s="36" t="s">
        <v>6</v>
      </c>
      <c r="O2" s="37"/>
      <c r="P2" s="38" t="s">
        <v>153</v>
      </c>
      <c r="Q2" s="35" t="s">
        <v>5</v>
      </c>
      <c r="R2" s="36" t="s">
        <v>6</v>
      </c>
      <c r="S2" s="37"/>
      <c r="T2" s="38" t="s">
        <v>161</v>
      </c>
      <c r="U2" s="35" t="s">
        <v>5</v>
      </c>
      <c r="V2" s="36" t="s">
        <v>6</v>
      </c>
      <c r="W2" s="37"/>
      <c r="X2" s="38" t="s">
        <v>162</v>
      </c>
      <c r="Y2" s="35" t="s">
        <v>5</v>
      </c>
      <c r="Z2" s="36" t="s">
        <v>6</v>
      </c>
      <c r="AA2" s="37"/>
      <c r="AB2" s="38" t="s">
        <v>163</v>
      </c>
      <c r="AC2" s="35" t="s">
        <v>5</v>
      </c>
      <c r="AD2" s="36" t="s">
        <v>6</v>
      </c>
      <c r="AE2" s="37"/>
      <c r="AF2" s="38" t="s">
        <v>164</v>
      </c>
      <c r="AG2" s="35" t="s">
        <v>5</v>
      </c>
      <c r="AH2" s="36" t="s">
        <v>6</v>
      </c>
      <c r="AI2" s="37"/>
      <c r="AJ2" s="38" t="s">
        <v>165</v>
      </c>
      <c r="AK2" s="35" t="s">
        <v>5</v>
      </c>
      <c r="AL2" s="36" t="s">
        <v>6</v>
      </c>
      <c r="AM2" s="37"/>
      <c r="AN2" s="38" t="s">
        <v>166</v>
      </c>
      <c r="AO2" s="35" t="s">
        <v>5</v>
      </c>
      <c r="AP2" s="36" t="s">
        <v>6</v>
      </c>
      <c r="AQ2" s="37"/>
      <c r="AR2" s="38" t="s">
        <v>167</v>
      </c>
    </row>
    <row r="3" spans="1:44" ht="12.75">
      <c r="A3" s="2"/>
      <c r="B3" s="1" t="s">
        <v>45</v>
      </c>
      <c r="C3" s="2"/>
      <c r="D3" s="2">
        <v>0</v>
      </c>
      <c r="E3" s="2">
        <v>0</v>
      </c>
      <c r="F3" s="2"/>
      <c r="G3" s="2"/>
      <c r="H3" s="2"/>
      <c r="I3" s="2"/>
      <c r="J3" s="2"/>
      <c r="K3" s="2"/>
      <c r="L3" s="2"/>
      <c r="M3" s="6">
        <v>0</v>
      </c>
      <c r="N3" s="7">
        <v>0</v>
      </c>
      <c r="O3" s="7"/>
      <c r="P3" s="10"/>
      <c r="Q3" s="6">
        <v>0</v>
      </c>
      <c r="R3" s="7">
        <v>0</v>
      </c>
      <c r="S3" s="7"/>
      <c r="T3" s="10"/>
      <c r="U3" s="6">
        <v>0</v>
      </c>
      <c r="V3" s="7">
        <v>0</v>
      </c>
      <c r="W3" s="7"/>
      <c r="X3" s="10"/>
      <c r="Y3" s="6">
        <v>0</v>
      </c>
      <c r="Z3" s="7">
        <v>0</v>
      </c>
      <c r="AA3" s="7"/>
      <c r="AB3" s="10"/>
      <c r="AC3" s="6">
        <v>0</v>
      </c>
      <c r="AD3" s="7">
        <v>0</v>
      </c>
      <c r="AE3" s="7"/>
      <c r="AF3" s="10"/>
      <c r="AG3" s="6">
        <v>0</v>
      </c>
      <c r="AH3" s="7">
        <v>0</v>
      </c>
      <c r="AI3" s="7"/>
      <c r="AJ3" s="10"/>
      <c r="AK3" s="6">
        <v>0</v>
      </c>
      <c r="AL3" s="7">
        <v>0</v>
      </c>
      <c r="AM3" s="7"/>
      <c r="AN3" s="10"/>
      <c r="AO3" s="6">
        <v>0</v>
      </c>
      <c r="AP3" s="7">
        <v>0</v>
      </c>
      <c r="AQ3" s="7"/>
      <c r="AR3" s="10"/>
    </row>
    <row r="4" spans="1:44" ht="12.75">
      <c r="A4" s="2"/>
      <c r="B4" s="2" t="s">
        <v>4</v>
      </c>
      <c r="C4" s="2"/>
      <c r="D4" s="2">
        <f>Gaine!$D$8</f>
        <v>0</v>
      </c>
      <c r="E4" s="2">
        <f>SQRT(Gaine!$D$7^2-Gaine!$D$8^2)</f>
        <v>20</v>
      </c>
      <c r="F4" s="2"/>
      <c r="G4" s="2"/>
      <c r="H4" s="2"/>
      <c r="I4" s="2"/>
      <c r="J4" s="2"/>
      <c r="K4" s="2"/>
      <c r="L4" s="2"/>
      <c r="M4" s="6">
        <f>Gaine!$D$8</f>
        <v>0</v>
      </c>
      <c r="N4" s="7">
        <f>SQRT(Gaine!$D$7^2-Gaine!$D$8^2)</f>
        <v>20</v>
      </c>
      <c r="O4" s="7"/>
      <c r="P4" s="10"/>
      <c r="Q4" s="6">
        <f>Gaine!$D$8</f>
        <v>0</v>
      </c>
      <c r="R4" s="7">
        <f>SQRT(Gaine!$D$7^2-Gaine!$D$8^2)</f>
        <v>20</v>
      </c>
      <c r="S4" s="7"/>
      <c r="T4" s="10"/>
      <c r="U4" s="6">
        <f>Gaine!$D$8</f>
        <v>0</v>
      </c>
      <c r="V4" s="7">
        <f>SQRT(Gaine!$D$7^2-Gaine!$D$8^2)</f>
        <v>20</v>
      </c>
      <c r="W4" s="7"/>
      <c r="X4" s="10"/>
      <c r="Y4" s="6">
        <f>Gaine!$D$8</f>
        <v>0</v>
      </c>
      <c r="Z4" s="7">
        <f>SQRT(Gaine!$D$7^2-Gaine!$D$8^2)</f>
        <v>20</v>
      </c>
      <c r="AA4" s="7"/>
      <c r="AB4" s="10"/>
      <c r="AC4" s="6">
        <f>Gaine!$D$8</f>
        <v>0</v>
      </c>
      <c r="AD4" s="7">
        <f>SQRT(Gaine!$D$7^2-Gaine!$D$8^2)</f>
        <v>20</v>
      </c>
      <c r="AE4" s="7"/>
      <c r="AF4" s="10"/>
      <c r="AG4" s="6">
        <f>Gaine!$D$8</f>
        <v>0</v>
      </c>
      <c r="AH4" s="7">
        <f>SQRT(Gaine!$D$7^2-Gaine!$D$8^2)</f>
        <v>20</v>
      </c>
      <c r="AI4" s="7"/>
      <c r="AJ4" s="10"/>
      <c r="AK4" s="6">
        <f>Gaine!$D$8</f>
        <v>0</v>
      </c>
      <c r="AL4" s="7">
        <f>SQRT(Gaine!$D$7^2-Gaine!$D$8^2)</f>
        <v>20</v>
      </c>
      <c r="AM4" s="7"/>
      <c r="AN4" s="10"/>
      <c r="AO4" s="6">
        <f>Gaine!$D$8</f>
        <v>0</v>
      </c>
      <c r="AP4" s="7">
        <f>SQRT(Gaine!$D$7^2-Gaine!$D$8^2)</f>
        <v>20</v>
      </c>
      <c r="AQ4" s="7"/>
      <c r="AR4" s="10"/>
    </row>
    <row r="5" spans="1:44" ht="12.75">
      <c r="A5" s="2"/>
      <c r="B5" s="2" t="s">
        <v>10</v>
      </c>
      <c r="C5" s="2"/>
      <c r="D5" s="2">
        <f>ACOS(Gaine!$D$8/Gaine!$D$7)</f>
        <v>1.5707963267948966</v>
      </c>
      <c r="E5" s="2"/>
      <c r="F5" s="2"/>
      <c r="G5" s="2"/>
      <c r="H5" s="2"/>
      <c r="I5" s="2"/>
      <c r="J5" s="2"/>
      <c r="K5" s="2"/>
      <c r="L5" s="2"/>
      <c r="M5" s="6">
        <f>ACOS(Gaine!$D$8/Gaine!$D$7)</f>
        <v>1.5707963267948966</v>
      </c>
      <c r="N5" s="7"/>
      <c r="O5" s="7"/>
      <c r="P5" s="10"/>
      <c r="Q5" s="6">
        <f>ACOS(Gaine!$D$8/Gaine!$D$7)</f>
        <v>1.5707963267948966</v>
      </c>
      <c r="R5" s="7"/>
      <c r="S5" s="7"/>
      <c r="T5" s="10"/>
      <c r="U5" s="6">
        <f>ACOS(Gaine!$D$8/Gaine!$D$7)</f>
        <v>1.5707963267948966</v>
      </c>
      <c r="V5" s="7"/>
      <c r="W5" s="7"/>
      <c r="X5" s="10"/>
      <c r="Y5" s="6">
        <f>ACOS(Gaine!$D$8/Gaine!$D$7)</f>
        <v>1.5707963267948966</v>
      </c>
      <c r="Z5" s="7"/>
      <c r="AA5" s="7"/>
      <c r="AB5" s="10"/>
      <c r="AC5" s="6">
        <f>ACOS(Gaine!$D$8/Gaine!$D$7)</f>
        <v>1.5707963267948966</v>
      </c>
      <c r="AD5" s="7"/>
      <c r="AE5" s="7"/>
      <c r="AF5" s="10"/>
      <c r="AG5" s="6">
        <f>ACOS(Gaine!$D$8/Gaine!$D$7)</f>
        <v>1.5707963267948966</v>
      </c>
      <c r="AH5" s="7"/>
      <c r="AI5" s="7"/>
      <c r="AJ5" s="10"/>
      <c r="AK5" s="6">
        <f>ACOS(Gaine!$D$8/Gaine!$D$7)</f>
        <v>1.5707963267948966</v>
      </c>
      <c r="AL5" s="7"/>
      <c r="AM5" s="7"/>
      <c r="AN5" s="10"/>
      <c r="AO5" s="6">
        <f>ACOS(Gaine!$D$8/Gaine!$D$7)</f>
        <v>1.5707963267948966</v>
      </c>
      <c r="AP5" s="7"/>
      <c r="AQ5" s="7"/>
      <c r="AR5" s="10"/>
    </row>
    <row r="6" spans="1:44" ht="12.75">
      <c r="A6" s="2"/>
      <c r="B6" s="2" t="s">
        <v>58</v>
      </c>
      <c r="C6" s="2"/>
      <c r="D6" s="2">
        <f>Gaine!$D$5</f>
        <v>60</v>
      </c>
      <c r="E6" s="2">
        <f>Gaine!$D$6</f>
        <v>23</v>
      </c>
      <c r="F6" s="2"/>
      <c r="G6" s="2"/>
      <c r="H6" s="2"/>
      <c r="I6" s="2"/>
      <c r="J6" s="2"/>
      <c r="K6" s="2"/>
      <c r="L6" s="2"/>
      <c r="M6" s="6">
        <f>Gaine!$D$5</f>
        <v>60</v>
      </c>
      <c r="N6" s="7">
        <f>Gaine!$D$6</f>
        <v>23</v>
      </c>
      <c r="O6" s="7"/>
      <c r="P6" s="10"/>
      <c r="Q6" s="6">
        <f>Gaine!$D$5</f>
        <v>60</v>
      </c>
      <c r="R6" s="7">
        <f>Gaine!$D$6</f>
        <v>23</v>
      </c>
      <c r="S6" s="7"/>
      <c r="T6" s="10"/>
      <c r="U6" s="6">
        <f>Gaine!$D$5</f>
        <v>60</v>
      </c>
      <c r="V6" s="7">
        <f>Gaine!$D$6</f>
        <v>23</v>
      </c>
      <c r="W6" s="7"/>
      <c r="X6" s="10"/>
      <c r="Y6" s="6">
        <f>Gaine!$D$5</f>
        <v>60</v>
      </c>
      <c r="Z6" s="7">
        <f>Gaine!$D$6</f>
        <v>23</v>
      </c>
      <c r="AA6" s="7"/>
      <c r="AB6" s="10"/>
      <c r="AC6" s="6">
        <f>Gaine!$D$5</f>
        <v>60</v>
      </c>
      <c r="AD6" s="7">
        <f>Gaine!$D$6</f>
        <v>23</v>
      </c>
      <c r="AE6" s="7"/>
      <c r="AF6" s="10"/>
      <c r="AG6" s="6">
        <f>Gaine!$D$5</f>
        <v>60</v>
      </c>
      <c r="AH6" s="7">
        <f>Gaine!$D$6</f>
        <v>23</v>
      </c>
      <c r="AI6" s="7"/>
      <c r="AJ6" s="10"/>
      <c r="AK6" s="6">
        <f>Gaine!$D$5</f>
        <v>60</v>
      </c>
      <c r="AL6" s="7">
        <f>Gaine!$D$6</f>
        <v>23</v>
      </c>
      <c r="AM6" s="7"/>
      <c r="AN6" s="10"/>
      <c r="AO6" s="6">
        <f>Gaine!$D$5</f>
        <v>60</v>
      </c>
      <c r="AP6" s="7">
        <f>Gaine!$D$6</f>
        <v>23</v>
      </c>
      <c r="AQ6" s="7"/>
      <c r="AR6" s="10"/>
    </row>
    <row r="7" spans="1:44" ht="12.75">
      <c r="A7" s="2"/>
      <c r="B7" s="2" t="s">
        <v>46</v>
      </c>
      <c r="C7" s="2"/>
      <c r="D7" s="2">
        <f>SQRT(($D$6-$D$4)^2+($E$4-$E$6)^2)</f>
        <v>60.07495318350236</v>
      </c>
      <c r="E7" s="2"/>
      <c r="F7" s="2"/>
      <c r="G7" s="2"/>
      <c r="H7" s="2"/>
      <c r="I7" s="2"/>
      <c r="J7" s="2"/>
      <c r="K7" s="2"/>
      <c r="L7" s="2"/>
      <c r="M7" s="6">
        <f>SQRT(($D$6-$D$4)^2+($E$4-$E$6)^2)</f>
        <v>60.07495318350236</v>
      </c>
      <c r="N7" s="7"/>
      <c r="O7" s="7"/>
      <c r="P7" s="10"/>
      <c r="Q7" s="6">
        <f>SQRT(($D$6-$D$4)^2+($E$4-$E$6)^2)</f>
        <v>60.07495318350236</v>
      </c>
      <c r="R7" s="7"/>
      <c r="S7" s="7"/>
      <c r="T7" s="10"/>
      <c r="U7" s="6">
        <f>SQRT(($D$6-$D$4)^2+($E$4-$E$6)^2)</f>
        <v>60.07495318350236</v>
      </c>
      <c r="V7" s="7"/>
      <c r="W7" s="7"/>
      <c r="X7" s="10"/>
      <c r="Y7" s="6">
        <f>SQRT(($D$6-$D$4)^2+($E$4-$E$6)^2)</f>
        <v>60.07495318350236</v>
      </c>
      <c r="Z7" s="7"/>
      <c r="AA7" s="7"/>
      <c r="AB7" s="10"/>
      <c r="AC7" s="6">
        <f>SQRT(($D$6-$D$4)^2+($E$4-$E$6)^2)</f>
        <v>60.07495318350236</v>
      </c>
      <c r="AD7" s="7"/>
      <c r="AE7" s="7"/>
      <c r="AF7" s="10"/>
      <c r="AG7" s="6">
        <f>SQRT(($D$6-$D$4)^2+($E$4-$E$6)^2)</f>
        <v>60.07495318350236</v>
      </c>
      <c r="AH7" s="7"/>
      <c r="AI7" s="7"/>
      <c r="AJ7" s="10"/>
      <c r="AK7" s="6">
        <f>SQRT(($D$6-$D$4)^2+($E$4-$E$6)^2)</f>
        <v>60.07495318350236</v>
      </c>
      <c r="AL7" s="7"/>
      <c r="AM7" s="7"/>
      <c r="AN7" s="10"/>
      <c r="AO7" s="6">
        <f>SQRT(($D$6-$D$4)^2+($E$4-$E$6)^2)</f>
        <v>60.07495318350236</v>
      </c>
      <c r="AP7" s="7"/>
      <c r="AQ7" s="7"/>
      <c r="AR7" s="10"/>
    </row>
    <row r="8" spans="1:4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6"/>
      <c r="N8" s="7"/>
      <c r="O8" s="7"/>
      <c r="P8" s="10"/>
      <c r="Q8" s="6"/>
      <c r="R8" s="7"/>
      <c r="S8" s="7"/>
      <c r="T8" s="10"/>
      <c r="U8" s="6"/>
      <c r="V8" s="7"/>
      <c r="W8" s="7"/>
      <c r="X8" s="10"/>
      <c r="Y8" s="6"/>
      <c r="Z8" s="7"/>
      <c r="AA8" s="7"/>
      <c r="AB8" s="10"/>
      <c r="AC8" s="6"/>
      <c r="AD8" s="7"/>
      <c r="AE8" s="7"/>
      <c r="AF8" s="10"/>
      <c r="AG8" s="6"/>
      <c r="AH8" s="7"/>
      <c r="AI8" s="7"/>
      <c r="AJ8" s="10"/>
      <c r="AK8" s="6"/>
      <c r="AL8" s="7"/>
      <c r="AM8" s="7"/>
      <c r="AN8" s="10"/>
      <c r="AO8" s="6"/>
      <c r="AP8" s="7"/>
      <c r="AQ8" s="7"/>
      <c r="AR8" s="10"/>
    </row>
    <row r="9" spans="1:44" ht="12.75">
      <c r="A9" s="2"/>
      <c r="B9" s="1" t="s">
        <v>28</v>
      </c>
      <c r="C9" s="2"/>
      <c r="D9" s="2" t="s">
        <v>5</v>
      </c>
      <c r="E9" s="2" t="s">
        <v>6</v>
      </c>
      <c r="F9" s="2"/>
      <c r="G9" s="1" t="s">
        <v>29</v>
      </c>
      <c r="H9" s="2"/>
      <c r="I9" s="2" t="s">
        <v>5</v>
      </c>
      <c r="J9" s="2" t="s">
        <v>6</v>
      </c>
      <c r="K9" s="2"/>
      <c r="L9" s="2"/>
      <c r="M9" s="6" t="s">
        <v>5</v>
      </c>
      <c r="N9" s="7" t="s">
        <v>6</v>
      </c>
      <c r="O9" s="7" t="s">
        <v>5</v>
      </c>
      <c r="P9" s="10" t="s">
        <v>6</v>
      </c>
      <c r="Q9" s="6" t="s">
        <v>5</v>
      </c>
      <c r="R9" s="7" t="s">
        <v>6</v>
      </c>
      <c r="S9" s="7" t="s">
        <v>5</v>
      </c>
      <c r="T9" s="10" t="s">
        <v>6</v>
      </c>
      <c r="U9" s="6" t="s">
        <v>5</v>
      </c>
      <c r="V9" s="7" t="s">
        <v>6</v>
      </c>
      <c r="W9" s="7" t="s">
        <v>5</v>
      </c>
      <c r="X9" s="10" t="s">
        <v>6</v>
      </c>
      <c r="Y9" s="6" t="s">
        <v>5</v>
      </c>
      <c r="Z9" s="7" t="s">
        <v>6</v>
      </c>
      <c r="AA9" s="7" t="s">
        <v>5</v>
      </c>
      <c r="AB9" s="10" t="s">
        <v>6</v>
      </c>
      <c r="AC9" s="6" t="s">
        <v>5</v>
      </c>
      <c r="AD9" s="7" t="s">
        <v>6</v>
      </c>
      <c r="AE9" s="7" t="s">
        <v>5</v>
      </c>
      <c r="AF9" s="10" t="s">
        <v>6</v>
      </c>
      <c r="AG9" s="6" t="s">
        <v>5</v>
      </c>
      <c r="AH9" s="7" t="s">
        <v>6</v>
      </c>
      <c r="AI9" s="7" t="s">
        <v>5</v>
      </c>
      <c r="AJ9" s="10" t="s">
        <v>6</v>
      </c>
      <c r="AK9" s="6" t="s">
        <v>5</v>
      </c>
      <c r="AL9" s="7" t="s">
        <v>6</v>
      </c>
      <c r="AM9" s="7" t="s">
        <v>5</v>
      </c>
      <c r="AN9" s="10" t="s">
        <v>6</v>
      </c>
      <c r="AO9" s="6" t="s">
        <v>5</v>
      </c>
      <c r="AP9" s="7" t="s">
        <v>6</v>
      </c>
      <c r="AQ9" s="7" t="s">
        <v>5</v>
      </c>
      <c r="AR9" s="10" t="s">
        <v>6</v>
      </c>
    </row>
    <row r="10" spans="1:44" ht="12.75">
      <c r="A10" s="2"/>
      <c r="B10" s="2" t="s">
        <v>43</v>
      </c>
      <c r="C10" s="2"/>
      <c r="D10" s="2">
        <f>$D$5-RADIANS(Gaine!$D$15)</f>
        <v>0.8726646259971648</v>
      </c>
      <c r="E10" s="2"/>
      <c r="F10" s="2"/>
      <c r="G10" s="2" t="s">
        <v>44</v>
      </c>
      <c r="H10" s="2"/>
      <c r="I10" s="2">
        <f>$D$5+RADIANS(Gaine!$D$15)</f>
        <v>2.2689280275926285</v>
      </c>
      <c r="J10" s="2"/>
      <c r="K10" s="2"/>
      <c r="L10" s="2"/>
      <c r="M10" s="6">
        <f>$D$5-ABS(RADIANS($J$43))</f>
        <v>0.8726646259971648</v>
      </c>
      <c r="N10" s="7"/>
      <c r="O10" s="6">
        <f>$D$5+ABS(RADIANS($J$43))</f>
        <v>2.2689280275926285</v>
      </c>
      <c r="P10" s="10"/>
      <c r="Q10" s="6">
        <f>$D$5-ABS(RADIANS($J$44))</f>
        <v>0.9599310885968813</v>
      </c>
      <c r="R10" s="7"/>
      <c r="S10" s="6">
        <f>$D$5+ABS(RADIANS($J$44))</f>
        <v>2.181661564992912</v>
      </c>
      <c r="T10" s="10"/>
      <c r="U10" s="6">
        <f>$D$5-ABS(RADIANS($J$45))</f>
        <v>1.0471975511965979</v>
      </c>
      <c r="V10" s="7"/>
      <c r="W10" s="6">
        <f>$D$5+ABS(RADIANS($J$45))</f>
        <v>2.0943951023931953</v>
      </c>
      <c r="X10" s="10"/>
      <c r="Y10" s="6">
        <f>$D$5-ABS(RADIANS($J$46))</f>
        <v>1.1344640137963142</v>
      </c>
      <c r="Z10" s="7"/>
      <c r="AA10" s="6">
        <f>$D$5+ABS(RADIANS($J$46))</f>
        <v>2.007128639793479</v>
      </c>
      <c r="AB10" s="10"/>
      <c r="AC10" s="6">
        <f>$D$5-ABS(RADIANS($J$47))</f>
        <v>1.2217304763960306</v>
      </c>
      <c r="AD10" s="7"/>
      <c r="AE10" s="6">
        <f>$D$5+ABS(RADIANS($J$47))</f>
        <v>1.9198621771937625</v>
      </c>
      <c r="AF10" s="10"/>
      <c r="AG10" s="6">
        <f>$D$5-ABS(RADIANS($J$48))</f>
        <v>1.3089969389957472</v>
      </c>
      <c r="AH10" s="7"/>
      <c r="AI10" s="6">
        <f>$D$5+ABS(RADIANS($J$48))</f>
        <v>1.832595714594046</v>
      </c>
      <c r="AJ10" s="10"/>
      <c r="AK10" s="6">
        <f>$D$5-ABS(RADIANS($J$49))</f>
        <v>1.3962634015954636</v>
      </c>
      <c r="AL10" s="7"/>
      <c r="AM10" s="6">
        <f>$D$5+ABS(RADIANS($J$49))</f>
        <v>1.7453292519943295</v>
      </c>
      <c r="AN10" s="10"/>
      <c r="AO10" s="6">
        <f>$D$5-ABS(RADIANS($J$50))</f>
        <v>1.4835298641951802</v>
      </c>
      <c r="AP10" s="7"/>
      <c r="AQ10" s="6">
        <f>$D$5+ABS(RADIANS($J$50))</f>
        <v>1.658062789394613</v>
      </c>
      <c r="AR10" s="10"/>
    </row>
    <row r="11" spans="1:44" ht="12.75">
      <c r="A11" s="2"/>
      <c r="B11" s="2" t="s">
        <v>47</v>
      </c>
      <c r="C11" s="2"/>
      <c r="D11" s="2">
        <f>Gaine!$D$7*COS(D10)</f>
        <v>12.855752193730787</v>
      </c>
      <c r="E11" s="2">
        <f>Gaine!$D$7*SIN(D10)</f>
        <v>15.32088886237956</v>
      </c>
      <c r="F11" s="2"/>
      <c r="G11" s="2" t="s">
        <v>49</v>
      </c>
      <c r="H11" s="2"/>
      <c r="I11" s="2">
        <f>Gaine!$D$7*COS(I10)</f>
        <v>-12.855752193730787</v>
      </c>
      <c r="J11" s="2">
        <f>Gaine!$D$7*SIN(I10)</f>
        <v>15.32088886237956</v>
      </c>
      <c r="K11" s="2"/>
      <c r="L11" s="2"/>
      <c r="M11" s="6">
        <f>Gaine!$D$7*COS(M10)</f>
        <v>12.855752193730787</v>
      </c>
      <c r="N11" s="7">
        <f>Gaine!$D$7*SIN(M10)</f>
        <v>15.32088886237956</v>
      </c>
      <c r="O11" s="7">
        <f>Gaine!$D$7*COS(O10)</f>
        <v>-12.855752193730787</v>
      </c>
      <c r="P11" s="10">
        <f>Gaine!$D$7*SIN(O10)</f>
        <v>15.32088886237956</v>
      </c>
      <c r="Q11" s="6">
        <f>Gaine!$D$7*COS(Q10)</f>
        <v>11.471528727020923</v>
      </c>
      <c r="R11" s="7">
        <f>Gaine!$D$7*SIN(Q10)</f>
        <v>16.383040885779835</v>
      </c>
      <c r="S11" s="7">
        <f>Gaine!$D$7*COS(S10)</f>
        <v>-11.471528727020923</v>
      </c>
      <c r="T11" s="10">
        <f>Gaine!$D$7*SIN(S10)</f>
        <v>16.383040885779835</v>
      </c>
      <c r="U11" s="6">
        <f>Gaine!$D$7*COS(U10)</f>
        <v>9.999999999999998</v>
      </c>
      <c r="V11" s="7">
        <f>Gaine!$D$7*SIN(U10)</f>
        <v>17.320508075688775</v>
      </c>
      <c r="W11" s="7">
        <f>Gaine!$D$7*COS(W10)</f>
        <v>-9.999999999999996</v>
      </c>
      <c r="X11" s="10">
        <f>Gaine!$D$7*SIN(W10)</f>
        <v>17.320508075688775</v>
      </c>
      <c r="Y11" s="6">
        <f>Gaine!$D$7*COS(Y10)</f>
        <v>8.452365234813989</v>
      </c>
      <c r="Z11" s="7">
        <f>Gaine!$D$7*SIN(Y10)</f>
        <v>18.126155740732997</v>
      </c>
      <c r="AA11" s="7">
        <f>Gaine!$D$7*COS(AA10)</f>
        <v>-8.452365234813987</v>
      </c>
      <c r="AB11" s="10">
        <f>Gaine!$D$7*SIN(AA10)</f>
        <v>18.126155740733</v>
      </c>
      <c r="AC11" s="6">
        <f>Gaine!$D$7*COS(AC10)</f>
        <v>6.840402866513377</v>
      </c>
      <c r="AD11" s="7">
        <f>Gaine!$D$7*SIN(AC10)</f>
        <v>18.793852415718167</v>
      </c>
      <c r="AE11" s="7">
        <f>Gaine!$D$7*COS(AE10)</f>
        <v>-6.840402866513374</v>
      </c>
      <c r="AF11" s="10">
        <f>Gaine!$D$7*SIN(AE10)</f>
        <v>18.79385241571817</v>
      </c>
      <c r="AG11" s="6">
        <f>Gaine!$D$7*COS(AG10)</f>
        <v>5.176380902050415</v>
      </c>
      <c r="AH11" s="7">
        <f>Gaine!$D$7*SIN(AG10)</f>
        <v>19.318516525781366</v>
      </c>
      <c r="AI11" s="7">
        <f>Gaine!$D$7*COS(AI10)</f>
        <v>-5.176380902050413</v>
      </c>
      <c r="AJ11" s="10">
        <f>Gaine!$D$7*SIN(AI10)</f>
        <v>19.318516525781366</v>
      </c>
      <c r="AK11" s="6">
        <f>Gaine!$D$7*COS(AK10)</f>
        <v>3.4729635533386083</v>
      </c>
      <c r="AL11" s="7">
        <f>Gaine!$D$7*SIN(AK10)</f>
        <v>19.69615506024416</v>
      </c>
      <c r="AM11" s="7">
        <f>Gaine!$D$7*COS(AM10)</f>
        <v>-3.472963553338606</v>
      </c>
      <c r="AN11" s="10">
        <f>Gaine!$D$7*SIN(AM10)</f>
        <v>19.69615506024416</v>
      </c>
      <c r="AO11" s="6">
        <f>Gaine!$D$7*COS(AO10)</f>
        <v>1.7431148549531628</v>
      </c>
      <c r="AP11" s="7">
        <f>Gaine!$D$7*SIN(AO10)</f>
        <v>19.92389396183491</v>
      </c>
      <c r="AQ11" s="7">
        <f>Gaine!$D$7*COS(AQ10)</f>
        <v>-1.7431148549531603</v>
      </c>
      <c r="AR11" s="10">
        <f>Gaine!$D$7*SIN(AQ10)</f>
        <v>19.92389396183491</v>
      </c>
    </row>
    <row r="12" spans="1:44" ht="12.75">
      <c r="A12" s="2"/>
      <c r="B12" s="2" t="s">
        <v>48</v>
      </c>
      <c r="C12" s="2"/>
      <c r="D12" s="2">
        <f>SQRT(($D$6-D11)^2+(E11-$E$6)^2)</f>
        <v>47.765561329087774</v>
      </c>
      <c r="E12" s="2"/>
      <c r="F12" s="2"/>
      <c r="G12" s="2" t="s">
        <v>50</v>
      </c>
      <c r="H12" s="2"/>
      <c r="I12" s="2">
        <f>SQRT(($D$6-I11)^2+(J11-$E$6)^2)</f>
        <v>73.25932961458379</v>
      </c>
      <c r="J12" s="2"/>
      <c r="K12" s="2"/>
      <c r="L12" s="2"/>
      <c r="M12" s="6">
        <f>SQRT(($D$6-M11)^2+(N11-$E$6)^2)</f>
        <v>47.765561329087774</v>
      </c>
      <c r="N12" s="7"/>
      <c r="O12" s="7">
        <f>SQRT(($D$6-O11)^2+(P11-$E$6)^2)</f>
        <v>73.25932961458379</v>
      </c>
      <c r="P12" s="10"/>
      <c r="Q12" s="6">
        <f>SQRT(($D$6-Q11)^2+(R11-$E$6)^2)</f>
        <v>48.977511900989995</v>
      </c>
      <c r="R12" s="7"/>
      <c r="S12" s="7">
        <f>SQRT(($D$6-S11)^2+(T11-$E$6)^2)</f>
        <v>71.77717998428636</v>
      </c>
      <c r="T12" s="10"/>
      <c r="U12" s="6">
        <f>SQRT(($D$6-U11)^2+(V11-$E$6)^2)</f>
        <v>50.321532453993456</v>
      </c>
      <c r="V12" s="7"/>
      <c r="W12" s="7">
        <f>SQRT(($D$6-W11)^2+(X11-$E$6)^2)</f>
        <v>70.23002654504921</v>
      </c>
      <c r="X12" s="10"/>
      <c r="Y12" s="6">
        <f>SQRT(($D$6-Y11)^2+(Z11-$E$6)^2)</f>
        <v>51.777533812925114</v>
      </c>
      <c r="Z12" s="7"/>
      <c r="AA12" s="7">
        <f>SQRT(($D$6-AA11)^2+(AB11-$E$6)^2)</f>
        <v>68.62565601947976</v>
      </c>
      <c r="AB12" s="10"/>
      <c r="AC12" s="6">
        <f>SQRT(($D$6-AC11)^2+(AD11-$E$6)^2)</f>
        <v>53.32573904687453</v>
      </c>
      <c r="AD12" s="7"/>
      <c r="AE12" s="7">
        <f>SQRT(($D$6-AE11)^2+(AF11-$E$6)^2)</f>
        <v>66.97261479783039</v>
      </c>
      <c r="AF12" s="10"/>
      <c r="AG12" s="6">
        <f>SQRT(($D$6-AG11)^2+(AH11-$E$6)^2)</f>
        <v>54.947088472165724</v>
      </c>
      <c r="AH12" s="7"/>
      <c r="AI12" s="7">
        <f>SQRT(($D$6-AI11)^2+(AJ11-$E$6)^2)</f>
        <v>65.28027227317688</v>
      </c>
      <c r="AJ12" s="10"/>
      <c r="AK12" s="6">
        <f>SQRT(($D$6-AK11)^2+(AL11-$E$6)^2)</f>
        <v>56.623504314269844</v>
      </c>
      <c r="AL12" s="7"/>
      <c r="AM12" s="7">
        <f>SQRT(($D$6-AM11)^2+(AN11-$E$6)^2)</f>
        <v>63.5588899653652</v>
      </c>
      <c r="AN12" s="10"/>
      <c r="AO12" s="6">
        <f>SQRT(($D$6-AO11)^2+(AP11-$E$6)^2)</f>
        <v>58.33804157804078</v>
      </c>
      <c r="AP12" s="7"/>
      <c r="AQ12" s="7">
        <f>SQRT(($D$6-AQ11)^2+(AR11-$E$6)^2)</f>
        <v>61.8196947610547</v>
      </c>
      <c r="AR12" s="10"/>
    </row>
    <row r="13" spans="1:44" ht="12.75">
      <c r="A13" s="2"/>
      <c r="B13" s="2" t="s">
        <v>51</v>
      </c>
      <c r="C13" s="2"/>
      <c r="D13" s="2">
        <f>$D$7-D12</f>
        <v>12.309391854414585</v>
      </c>
      <c r="E13" s="2"/>
      <c r="F13" s="2"/>
      <c r="G13" s="2" t="s">
        <v>52</v>
      </c>
      <c r="H13" s="2"/>
      <c r="I13" s="2">
        <f>-$D$7+I12</f>
        <v>13.184376431081432</v>
      </c>
      <c r="J13" s="2"/>
      <c r="K13" s="2"/>
      <c r="L13" s="2"/>
      <c r="M13" s="6">
        <f>$D$7-M12</f>
        <v>12.309391854414585</v>
      </c>
      <c r="N13" s="7"/>
      <c r="O13" s="7">
        <f>-$D$7+O12</f>
        <v>13.184376431081432</v>
      </c>
      <c r="P13" s="10"/>
      <c r="Q13" s="6">
        <f>$D$7-Q12</f>
        <v>11.097441282512364</v>
      </c>
      <c r="R13" s="7"/>
      <c r="S13" s="7">
        <f>-$D$7+S12</f>
        <v>11.702226800784004</v>
      </c>
      <c r="T13" s="10"/>
      <c r="U13" s="6">
        <f>$D$7-U12</f>
        <v>9.753420729508903</v>
      </c>
      <c r="V13" s="7"/>
      <c r="W13" s="7">
        <f>-$D$7+W12</f>
        <v>10.155073361546854</v>
      </c>
      <c r="X13" s="10"/>
      <c r="Y13" s="6">
        <f>$D$7-Y12</f>
        <v>8.297419370577245</v>
      </c>
      <c r="Z13" s="7"/>
      <c r="AA13" s="7">
        <f>-$D$7+AA12</f>
        <v>8.550702835977404</v>
      </c>
      <c r="AB13" s="10"/>
      <c r="AC13" s="6">
        <f>$D$7-AC12</f>
        <v>6.7492141366278275</v>
      </c>
      <c r="AD13" s="7"/>
      <c r="AE13" s="7">
        <f>-$D$7+AE12</f>
        <v>6.89766161432803</v>
      </c>
      <c r="AF13" s="10"/>
      <c r="AG13" s="6">
        <f>$D$7-AG12</f>
        <v>5.127864711336635</v>
      </c>
      <c r="AH13" s="7"/>
      <c r="AI13" s="7">
        <f>-$D$7+AI12</f>
        <v>5.205319089674518</v>
      </c>
      <c r="AJ13" s="10"/>
      <c r="AK13" s="6">
        <f>$D$7-AK12</f>
        <v>3.4514488692325145</v>
      </c>
      <c r="AL13" s="7"/>
      <c r="AM13" s="7">
        <f>-$D$7+AM12</f>
        <v>3.4839367818628446</v>
      </c>
      <c r="AN13" s="10"/>
      <c r="AO13" s="6">
        <f>$D$7-AO12</f>
        <v>1.7369116054615787</v>
      </c>
      <c r="AP13" s="7"/>
      <c r="AQ13" s="7">
        <f>-$D$7+AQ12</f>
        <v>1.7447415775523396</v>
      </c>
      <c r="AR13" s="10"/>
    </row>
    <row r="14" spans="1:4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6"/>
      <c r="N14" s="7"/>
      <c r="O14" s="7"/>
      <c r="P14" s="10"/>
      <c r="Q14" s="6"/>
      <c r="R14" s="7"/>
      <c r="S14" s="7"/>
      <c r="T14" s="10"/>
      <c r="U14" s="6"/>
      <c r="V14" s="7"/>
      <c r="W14" s="7"/>
      <c r="X14" s="10"/>
      <c r="Y14" s="6"/>
      <c r="Z14" s="7"/>
      <c r="AA14" s="7"/>
      <c r="AB14" s="10"/>
      <c r="AC14" s="6"/>
      <c r="AD14" s="7"/>
      <c r="AE14" s="7"/>
      <c r="AF14" s="10"/>
      <c r="AG14" s="6"/>
      <c r="AH14" s="7"/>
      <c r="AI14" s="7"/>
      <c r="AJ14" s="10"/>
      <c r="AK14" s="6"/>
      <c r="AL14" s="7"/>
      <c r="AM14" s="7"/>
      <c r="AN14" s="10"/>
      <c r="AO14" s="6"/>
      <c r="AP14" s="7"/>
      <c r="AQ14" s="7"/>
      <c r="AR14" s="10"/>
    </row>
    <row r="15" spans="1:44" ht="12.75">
      <c r="A15" s="2"/>
      <c r="B15" s="2"/>
      <c r="C15" s="2"/>
      <c r="D15" s="2" t="s">
        <v>5</v>
      </c>
      <c r="E15" s="2" t="s">
        <v>6</v>
      </c>
      <c r="F15" s="2"/>
      <c r="G15" s="2"/>
      <c r="H15" s="2"/>
      <c r="I15" s="2"/>
      <c r="J15" s="2"/>
      <c r="K15" s="2"/>
      <c r="L15" s="2"/>
      <c r="M15" s="6" t="s">
        <v>5</v>
      </c>
      <c r="N15" s="7" t="s">
        <v>6</v>
      </c>
      <c r="O15" s="7"/>
      <c r="P15" s="10"/>
      <c r="Q15" s="6" t="s">
        <v>5</v>
      </c>
      <c r="R15" s="7" t="s">
        <v>6</v>
      </c>
      <c r="S15" s="7"/>
      <c r="T15" s="10"/>
      <c r="U15" s="6" t="s">
        <v>5</v>
      </c>
      <c r="V15" s="7" t="s">
        <v>6</v>
      </c>
      <c r="W15" s="7"/>
      <c r="X15" s="10"/>
      <c r="Y15" s="6" t="s">
        <v>5</v>
      </c>
      <c r="Z15" s="7" t="s">
        <v>6</v>
      </c>
      <c r="AA15" s="7"/>
      <c r="AB15" s="10"/>
      <c r="AC15" s="6" t="s">
        <v>5</v>
      </c>
      <c r="AD15" s="7" t="s">
        <v>6</v>
      </c>
      <c r="AE15" s="7"/>
      <c r="AF15" s="10"/>
      <c r="AG15" s="6" t="s">
        <v>5</v>
      </c>
      <c r="AH15" s="7" t="s">
        <v>6</v>
      </c>
      <c r="AI15" s="7"/>
      <c r="AJ15" s="10"/>
      <c r="AK15" s="6" t="s">
        <v>5</v>
      </c>
      <c r="AL15" s="7" t="s">
        <v>6</v>
      </c>
      <c r="AM15" s="7"/>
      <c r="AN15" s="10"/>
      <c r="AO15" s="6" t="s">
        <v>5</v>
      </c>
      <c r="AP15" s="7" t="s">
        <v>6</v>
      </c>
      <c r="AQ15" s="7"/>
      <c r="AR15" s="10"/>
    </row>
    <row r="16" spans="1:44" ht="12.75">
      <c r="A16" s="2"/>
      <c r="B16" s="2" t="s">
        <v>53</v>
      </c>
      <c r="C16" s="2"/>
      <c r="D16" s="2">
        <v>0</v>
      </c>
      <c r="E16" s="2">
        <v>0</v>
      </c>
      <c r="F16" s="2"/>
      <c r="G16" s="2"/>
      <c r="H16" s="2"/>
      <c r="I16" s="2"/>
      <c r="J16" s="2"/>
      <c r="K16" s="2"/>
      <c r="L16" s="2"/>
      <c r="M16" s="6">
        <v>0</v>
      </c>
      <c r="N16" s="7">
        <v>0</v>
      </c>
      <c r="O16" s="7"/>
      <c r="P16" s="10"/>
      <c r="Q16" s="6">
        <v>0</v>
      </c>
      <c r="R16" s="7">
        <v>0</v>
      </c>
      <c r="S16" s="7"/>
      <c r="T16" s="10"/>
      <c r="U16" s="6">
        <v>0</v>
      </c>
      <c r="V16" s="7">
        <v>0</v>
      </c>
      <c r="W16" s="7"/>
      <c r="X16" s="10"/>
      <c r="Y16" s="6">
        <v>0</v>
      </c>
      <c r="Z16" s="7">
        <v>0</v>
      </c>
      <c r="AA16" s="7"/>
      <c r="AB16" s="10"/>
      <c r="AC16" s="6">
        <v>0</v>
      </c>
      <c r="AD16" s="7">
        <v>0</v>
      </c>
      <c r="AE16" s="7"/>
      <c r="AF16" s="10"/>
      <c r="AG16" s="6">
        <v>0</v>
      </c>
      <c r="AH16" s="7">
        <v>0</v>
      </c>
      <c r="AI16" s="7"/>
      <c r="AJ16" s="10"/>
      <c r="AK16" s="6">
        <v>0</v>
      </c>
      <c r="AL16" s="7">
        <v>0</v>
      </c>
      <c r="AM16" s="7"/>
      <c r="AN16" s="10"/>
      <c r="AO16" s="6">
        <v>0</v>
      </c>
      <c r="AP16" s="7">
        <v>0</v>
      </c>
      <c r="AQ16" s="7"/>
      <c r="AR16" s="10"/>
    </row>
    <row r="17" spans="1:44" ht="12.75">
      <c r="A17" s="2"/>
      <c r="B17" s="2" t="s">
        <v>57</v>
      </c>
      <c r="C17" s="2"/>
      <c r="D17" s="2">
        <f>D16</f>
        <v>0</v>
      </c>
      <c r="E17" s="2">
        <f>Gaine!$D$10</f>
        <v>12</v>
      </c>
      <c r="F17" s="2"/>
      <c r="G17" s="2"/>
      <c r="H17" s="2"/>
      <c r="I17" s="2"/>
      <c r="J17" s="2"/>
      <c r="K17" s="2"/>
      <c r="L17" s="2"/>
      <c r="M17" s="6">
        <f>M16</f>
        <v>0</v>
      </c>
      <c r="N17" s="7">
        <f>Gaine!$D$10</f>
        <v>12</v>
      </c>
      <c r="O17" s="7"/>
      <c r="P17" s="10"/>
      <c r="Q17" s="6">
        <f>Q16</f>
        <v>0</v>
      </c>
      <c r="R17" s="7">
        <f>Gaine!$D$10</f>
        <v>12</v>
      </c>
      <c r="S17" s="7"/>
      <c r="T17" s="10"/>
      <c r="U17" s="6">
        <f>U16</f>
        <v>0</v>
      </c>
      <c r="V17" s="7">
        <f>Gaine!$D$10</f>
        <v>12</v>
      </c>
      <c r="W17" s="7"/>
      <c r="X17" s="10"/>
      <c r="Y17" s="6">
        <f>Y16</f>
        <v>0</v>
      </c>
      <c r="Z17" s="7">
        <f>Gaine!$D$10</f>
        <v>12</v>
      </c>
      <c r="AA17" s="7"/>
      <c r="AB17" s="10"/>
      <c r="AC17" s="6">
        <f>AC16</f>
        <v>0</v>
      </c>
      <c r="AD17" s="7">
        <f>Gaine!$D$10</f>
        <v>12</v>
      </c>
      <c r="AE17" s="7"/>
      <c r="AF17" s="10"/>
      <c r="AG17" s="6">
        <f>AG16</f>
        <v>0</v>
      </c>
      <c r="AH17" s="7">
        <f>Gaine!$D$10</f>
        <v>12</v>
      </c>
      <c r="AI17" s="7"/>
      <c r="AJ17" s="10"/>
      <c r="AK17" s="6">
        <f>AK16</f>
        <v>0</v>
      </c>
      <c r="AL17" s="7">
        <f>Gaine!$D$10</f>
        <v>12</v>
      </c>
      <c r="AM17" s="7"/>
      <c r="AN17" s="10"/>
      <c r="AO17" s="6">
        <f>AO16</f>
        <v>0</v>
      </c>
      <c r="AP17" s="7">
        <f>Gaine!$D$10</f>
        <v>12</v>
      </c>
      <c r="AQ17" s="7"/>
      <c r="AR17" s="10"/>
    </row>
    <row r="18" spans="1:44" ht="12.75">
      <c r="A18" s="2"/>
      <c r="B18" s="2" t="s">
        <v>7</v>
      </c>
      <c r="C18" s="2"/>
      <c r="D18" s="2">
        <f>Gaine!$D$9</f>
        <v>50</v>
      </c>
      <c r="E18" s="2">
        <f>E16</f>
        <v>0</v>
      </c>
      <c r="F18" s="2"/>
      <c r="G18" s="2"/>
      <c r="H18" s="2"/>
      <c r="I18" s="2"/>
      <c r="J18" s="2"/>
      <c r="K18" s="2"/>
      <c r="L18" s="2"/>
      <c r="M18" s="6">
        <f>Gaine!$D$9</f>
        <v>50</v>
      </c>
      <c r="N18" s="7">
        <f>N16</f>
        <v>0</v>
      </c>
      <c r="O18" s="7"/>
      <c r="P18" s="10"/>
      <c r="Q18" s="6">
        <f>Gaine!$D$9</f>
        <v>50</v>
      </c>
      <c r="R18" s="7">
        <f>R16</f>
        <v>0</v>
      </c>
      <c r="S18" s="7"/>
      <c r="T18" s="10"/>
      <c r="U18" s="6">
        <f>Gaine!$D$9</f>
        <v>50</v>
      </c>
      <c r="V18" s="7">
        <f>V16</f>
        <v>0</v>
      </c>
      <c r="W18" s="7"/>
      <c r="X18" s="10"/>
      <c r="Y18" s="6">
        <f>Gaine!$D$9</f>
        <v>50</v>
      </c>
      <c r="Z18" s="7">
        <f>Z16</f>
        <v>0</v>
      </c>
      <c r="AA18" s="7"/>
      <c r="AB18" s="10"/>
      <c r="AC18" s="6">
        <f>Gaine!$D$9</f>
        <v>50</v>
      </c>
      <c r="AD18" s="7">
        <f>AD16</f>
        <v>0</v>
      </c>
      <c r="AE18" s="7"/>
      <c r="AF18" s="10"/>
      <c r="AG18" s="6">
        <f>Gaine!$D$9</f>
        <v>50</v>
      </c>
      <c r="AH18" s="7">
        <f>AH16</f>
        <v>0</v>
      </c>
      <c r="AI18" s="7"/>
      <c r="AJ18" s="10"/>
      <c r="AK18" s="6">
        <f>Gaine!$D$9</f>
        <v>50</v>
      </c>
      <c r="AL18" s="7">
        <f>AL16</f>
        <v>0</v>
      </c>
      <c r="AM18" s="7"/>
      <c r="AN18" s="10"/>
      <c r="AO18" s="6">
        <f>Gaine!$D$9</f>
        <v>50</v>
      </c>
      <c r="AP18" s="7">
        <f>AP16</f>
        <v>0</v>
      </c>
      <c r="AQ18" s="7"/>
      <c r="AR18" s="10"/>
    </row>
    <row r="19" spans="1:44" ht="12.75">
      <c r="A19" s="2"/>
      <c r="B19" s="2" t="s">
        <v>23</v>
      </c>
      <c r="C19" s="2"/>
      <c r="D19" s="2">
        <f>D18+Gaine!$D$12</f>
        <v>54</v>
      </c>
      <c r="E19" s="2">
        <f>SQRT(Gaine!$D$11^2-Gaine!$D$12^2)</f>
        <v>19.595917942265423</v>
      </c>
      <c r="F19" s="2"/>
      <c r="G19" s="2"/>
      <c r="H19" s="2"/>
      <c r="I19" s="2"/>
      <c r="J19" s="2"/>
      <c r="K19" s="2"/>
      <c r="L19" s="2"/>
      <c r="M19" s="6">
        <f>M18+Gaine!$D$12</f>
        <v>54</v>
      </c>
      <c r="N19" s="7">
        <f>SQRT(Gaine!$D$11^2-Gaine!$D$12^2)</f>
        <v>19.595917942265423</v>
      </c>
      <c r="O19" s="7"/>
      <c r="P19" s="10"/>
      <c r="Q19" s="6">
        <f>Q18+Gaine!$D$12</f>
        <v>54</v>
      </c>
      <c r="R19" s="7">
        <f>SQRT(Gaine!$D$11^2-Gaine!$D$12^2)</f>
        <v>19.595917942265423</v>
      </c>
      <c r="S19" s="7"/>
      <c r="T19" s="10"/>
      <c r="U19" s="6">
        <f>U18+Gaine!$D$12</f>
        <v>54</v>
      </c>
      <c r="V19" s="7">
        <f>SQRT(Gaine!$D$11^2-Gaine!$D$12^2)</f>
        <v>19.595917942265423</v>
      </c>
      <c r="W19" s="7"/>
      <c r="X19" s="10"/>
      <c r="Y19" s="6">
        <f>Y18+Gaine!$D$12</f>
        <v>54</v>
      </c>
      <c r="Z19" s="7">
        <f>SQRT(Gaine!$D$11^2-Gaine!$D$12^2)</f>
        <v>19.595917942265423</v>
      </c>
      <c r="AA19" s="7"/>
      <c r="AB19" s="10"/>
      <c r="AC19" s="6">
        <f>AC18+Gaine!$D$12</f>
        <v>54</v>
      </c>
      <c r="AD19" s="7">
        <f>SQRT(Gaine!$D$11^2-Gaine!$D$12^2)</f>
        <v>19.595917942265423</v>
      </c>
      <c r="AE19" s="7"/>
      <c r="AF19" s="10"/>
      <c r="AG19" s="6">
        <f>AG18+Gaine!$D$12</f>
        <v>54</v>
      </c>
      <c r="AH19" s="7">
        <f>SQRT(Gaine!$D$11^2-Gaine!$D$12^2)</f>
        <v>19.595917942265423</v>
      </c>
      <c r="AI19" s="7"/>
      <c r="AJ19" s="10"/>
      <c r="AK19" s="6">
        <f>AK18+Gaine!$D$12</f>
        <v>54</v>
      </c>
      <c r="AL19" s="7">
        <f>SQRT(Gaine!$D$11^2-Gaine!$D$12^2)</f>
        <v>19.595917942265423</v>
      </c>
      <c r="AM19" s="7"/>
      <c r="AN19" s="10"/>
      <c r="AO19" s="6">
        <f>AO18+Gaine!$D$12</f>
        <v>54</v>
      </c>
      <c r="AP19" s="7">
        <f>SQRT(Gaine!$D$11^2-Gaine!$D$12^2)</f>
        <v>19.595917942265423</v>
      </c>
      <c r="AQ19" s="7"/>
      <c r="AR19" s="10"/>
    </row>
    <row r="20" spans="1:44" ht="12.75">
      <c r="A20" s="2"/>
      <c r="B20" s="2" t="s">
        <v>38</v>
      </c>
      <c r="C20" s="2"/>
      <c r="D20" s="2">
        <f>D18+Gaine!$D$13*COS(RADIANS(Gaine!$D$14))</f>
        <v>89.84778792366981</v>
      </c>
      <c r="E20" s="2">
        <f>E18+Gaine!$D$13*SIN(RADIANS(Gaine!$D$14))</f>
        <v>-3.4862297099063264</v>
      </c>
      <c r="F20" s="2"/>
      <c r="G20" s="2"/>
      <c r="H20" s="2"/>
      <c r="I20" s="2"/>
      <c r="J20" s="2"/>
      <c r="K20" s="2"/>
      <c r="L20" s="2"/>
      <c r="M20" s="6">
        <f>M18+Gaine!$D$13*COS(RADIANS(Gaine!$D$14))</f>
        <v>89.84778792366981</v>
      </c>
      <c r="N20" s="7">
        <f>N18+Gaine!$D$13*SIN(RADIANS(Gaine!$D$14))</f>
        <v>-3.4862297099063264</v>
      </c>
      <c r="O20" s="7"/>
      <c r="P20" s="10"/>
      <c r="Q20" s="6">
        <f>Q18+Gaine!$D$13*COS(RADIANS(Gaine!$D$14))</f>
        <v>89.84778792366981</v>
      </c>
      <c r="R20" s="7">
        <f>R18+Gaine!$D$13*SIN(RADIANS(Gaine!$D$14))</f>
        <v>-3.4862297099063264</v>
      </c>
      <c r="S20" s="7"/>
      <c r="T20" s="10"/>
      <c r="U20" s="6">
        <f>U18+Gaine!$D$13*COS(RADIANS(Gaine!$D$14))</f>
        <v>89.84778792366981</v>
      </c>
      <c r="V20" s="7">
        <f>V18+Gaine!$D$13*SIN(RADIANS(Gaine!$D$14))</f>
        <v>-3.4862297099063264</v>
      </c>
      <c r="W20" s="7"/>
      <c r="X20" s="10"/>
      <c r="Y20" s="6">
        <f>Y18+Gaine!$D$13*COS(RADIANS(Gaine!$D$14))</f>
        <v>89.84778792366981</v>
      </c>
      <c r="Z20" s="7">
        <f>Z18+Gaine!$D$13*SIN(RADIANS(Gaine!$D$14))</f>
        <v>-3.4862297099063264</v>
      </c>
      <c r="AA20" s="7"/>
      <c r="AB20" s="10"/>
      <c r="AC20" s="6">
        <f>AC18+Gaine!$D$13*COS(RADIANS(Gaine!$D$14))</f>
        <v>89.84778792366981</v>
      </c>
      <c r="AD20" s="7">
        <f>AD18+Gaine!$D$13*SIN(RADIANS(Gaine!$D$14))</f>
        <v>-3.4862297099063264</v>
      </c>
      <c r="AE20" s="7"/>
      <c r="AF20" s="10"/>
      <c r="AG20" s="6">
        <f>AG18+Gaine!$D$13*COS(RADIANS(Gaine!$D$14))</f>
        <v>89.84778792366981</v>
      </c>
      <c r="AH20" s="7">
        <f>AH18+Gaine!$D$13*SIN(RADIANS(Gaine!$D$14))</f>
        <v>-3.4862297099063264</v>
      </c>
      <c r="AI20" s="7"/>
      <c r="AJ20" s="10"/>
      <c r="AK20" s="6">
        <f>AK18+Gaine!$D$13*COS(RADIANS(Gaine!$D$14))</f>
        <v>89.84778792366981</v>
      </c>
      <c r="AL20" s="7">
        <f>AL18+Gaine!$D$13*SIN(RADIANS(Gaine!$D$14))</f>
        <v>-3.4862297099063264</v>
      </c>
      <c r="AM20" s="7"/>
      <c r="AN20" s="10"/>
      <c r="AO20" s="6">
        <f>AO18+Gaine!$D$13*COS(RADIANS(Gaine!$D$14))</f>
        <v>89.84778792366981</v>
      </c>
      <c r="AP20" s="7">
        <f>AP18+Gaine!$D$13*SIN(RADIANS(Gaine!$D$14))</f>
        <v>-3.4862297099063264</v>
      </c>
      <c r="AQ20" s="7"/>
      <c r="AR20" s="10"/>
    </row>
    <row r="21" spans="1:44" ht="12.75">
      <c r="A21" s="2"/>
      <c r="B21" s="2" t="s">
        <v>10</v>
      </c>
      <c r="C21" s="2"/>
      <c r="D21" s="2">
        <f>ACOS(Gaine!$D$8/Gaine!$D$7)</f>
        <v>1.5707963267948966</v>
      </c>
      <c r="E21" s="2"/>
      <c r="F21" s="2"/>
      <c r="G21" s="2"/>
      <c r="H21" s="2"/>
      <c r="I21" s="2"/>
      <c r="J21" s="2"/>
      <c r="K21" s="2"/>
      <c r="L21" s="2"/>
      <c r="M21" s="6">
        <f>ACOS(Gaine!$D$8/Gaine!$D$7)</f>
        <v>1.5707963267948966</v>
      </c>
      <c r="N21" s="7"/>
      <c r="O21" s="7"/>
      <c r="P21" s="10"/>
      <c r="Q21" s="6">
        <f>ACOS(Gaine!$D$8/Gaine!$D$7)</f>
        <v>1.5707963267948966</v>
      </c>
      <c r="R21" s="7"/>
      <c r="S21" s="7"/>
      <c r="T21" s="10"/>
      <c r="U21" s="6">
        <f>ACOS(Gaine!$D$8/Gaine!$D$7)</f>
        <v>1.5707963267948966</v>
      </c>
      <c r="V21" s="7"/>
      <c r="W21" s="7"/>
      <c r="X21" s="10"/>
      <c r="Y21" s="6">
        <f>ACOS(Gaine!$D$8/Gaine!$D$7)</f>
        <v>1.5707963267948966</v>
      </c>
      <c r="Z21" s="7"/>
      <c r="AA21" s="7"/>
      <c r="AB21" s="10"/>
      <c r="AC21" s="6">
        <f>ACOS(Gaine!$D$8/Gaine!$D$7)</f>
        <v>1.5707963267948966</v>
      </c>
      <c r="AD21" s="7"/>
      <c r="AE21" s="7"/>
      <c r="AF21" s="10"/>
      <c r="AG21" s="6">
        <f>ACOS(Gaine!$D$8/Gaine!$D$7)</f>
        <v>1.5707963267948966</v>
      </c>
      <c r="AH21" s="7"/>
      <c r="AI21" s="7"/>
      <c r="AJ21" s="10"/>
      <c r="AK21" s="6">
        <f>ACOS(Gaine!$D$8/Gaine!$D$7)</f>
        <v>1.5707963267948966</v>
      </c>
      <c r="AL21" s="7"/>
      <c r="AM21" s="7"/>
      <c r="AN21" s="10"/>
      <c r="AO21" s="6">
        <f>ACOS(Gaine!$D$8/Gaine!$D$7)</f>
        <v>1.5707963267948966</v>
      </c>
      <c r="AP21" s="7"/>
      <c r="AQ21" s="7"/>
      <c r="AR21" s="10"/>
    </row>
    <row r="22" spans="1:44" ht="12.75">
      <c r="A22" s="2"/>
      <c r="B22" s="2" t="s">
        <v>32</v>
      </c>
      <c r="C22" s="2"/>
      <c r="D22" s="2">
        <f>PI()/2-ASIN(Gaine!$D$12/Gaine!$D$11)-RADIANS(Gaine!$D$14)</f>
        <v>1.456704868604282</v>
      </c>
      <c r="E22" s="2"/>
      <c r="F22" s="2"/>
      <c r="G22" s="2"/>
      <c r="H22" s="2"/>
      <c r="I22" s="2"/>
      <c r="J22" s="2"/>
      <c r="K22" s="2"/>
      <c r="L22" s="2"/>
      <c r="M22" s="6">
        <f>PI()/2-ASIN(Gaine!$D$12/Gaine!$D$11)-RADIANS(Gaine!$D$14)</f>
        <v>1.456704868604282</v>
      </c>
      <c r="N22" s="7"/>
      <c r="O22" s="7"/>
      <c r="P22" s="10"/>
      <c r="Q22" s="6">
        <f>PI()/2-ASIN(Gaine!$D$12/Gaine!$D$11)-RADIANS(Gaine!$D$14)</f>
        <v>1.456704868604282</v>
      </c>
      <c r="R22" s="7"/>
      <c r="S22" s="7"/>
      <c r="T22" s="10"/>
      <c r="U22" s="6">
        <f>PI()/2-ASIN(Gaine!$D$12/Gaine!$D$11)-RADIANS(Gaine!$D$14)</f>
        <v>1.456704868604282</v>
      </c>
      <c r="V22" s="7"/>
      <c r="W22" s="7"/>
      <c r="X22" s="10"/>
      <c r="Y22" s="6">
        <f>PI()/2-ASIN(Gaine!$D$12/Gaine!$D$11)-RADIANS(Gaine!$D$14)</f>
        <v>1.456704868604282</v>
      </c>
      <c r="Z22" s="7"/>
      <c r="AA22" s="7"/>
      <c r="AB22" s="10"/>
      <c r="AC22" s="6">
        <f>PI()/2-ASIN(Gaine!$D$12/Gaine!$D$11)-RADIANS(Gaine!$D$14)</f>
        <v>1.456704868604282</v>
      </c>
      <c r="AD22" s="7"/>
      <c r="AE22" s="7"/>
      <c r="AF22" s="10"/>
      <c r="AG22" s="6">
        <f>PI()/2-ASIN(Gaine!$D$12/Gaine!$D$11)-RADIANS(Gaine!$D$14)</f>
        <v>1.456704868604282</v>
      </c>
      <c r="AH22" s="7"/>
      <c r="AI22" s="7"/>
      <c r="AJ22" s="10"/>
      <c r="AK22" s="6">
        <f>PI()/2-ASIN(Gaine!$D$12/Gaine!$D$11)-RADIANS(Gaine!$D$14)</f>
        <v>1.456704868604282</v>
      </c>
      <c r="AL22" s="7"/>
      <c r="AM22" s="7"/>
      <c r="AN22" s="10"/>
      <c r="AO22" s="6">
        <f>PI()/2-ASIN(Gaine!$D$12/Gaine!$D$11)-RADIANS(Gaine!$D$14)</f>
        <v>1.456704868604282</v>
      </c>
      <c r="AP22" s="7"/>
      <c r="AQ22" s="7"/>
      <c r="AR22" s="10"/>
    </row>
    <row r="23" spans="1:44" ht="12.75">
      <c r="A23" s="2"/>
      <c r="B23" s="12" t="s">
        <v>56</v>
      </c>
      <c r="C23" s="2"/>
      <c r="D23" s="2">
        <f>SQRT((D17-D19)^2+(E17-E19)^2)</f>
        <v>54.53162357188377</v>
      </c>
      <c r="E23" s="2"/>
      <c r="F23" s="2"/>
      <c r="G23" s="2"/>
      <c r="H23" s="2"/>
      <c r="I23" s="2"/>
      <c r="J23" s="2"/>
      <c r="K23" s="2"/>
      <c r="L23" s="2"/>
      <c r="M23" s="6">
        <f>SQRT((M17-M19)^2+(N17-N19)^2)</f>
        <v>54.53162357188377</v>
      </c>
      <c r="N23" s="7"/>
      <c r="O23" s="7"/>
      <c r="P23" s="10"/>
      <c r="Q23" s="6">
        <f>SQRT((Q17-Q19)^2+(R17-R19)^2)</f>
        <v>54.53162357188377</v>
      </c>
      <c r="R23" s="7"/>
      <c r="S23" s="7"/>
      <c r="T23" s="10"/>
      <c r="U23" s="6">
        <f>SQRT((U17-U19)^2+(V17-V19)^2)</f>
        <v>54.53162357188377</v>
      </c>
      <c r="V23" s="7"/>
      <c r="W23" s="7"/>
      <c r="X23" s="10"/>
      <c r="Y23" s="6">
        <f>SQRT((Y17-Y19)^2+(Z17-Z19)^2)</f>
        <v>54.53162357188377</v>
      </c>
      <c r="Z23" s="7"/>
      <c r="AA23" s="7"/>
      <c r="AB23" s="10"/>
      <c r="AC23" s="6">
        <f>SQRT((AC17-AC19)^2+(AD17-AD19)^2)</f>
        <v>54.53162357188377</v>
      </c>
      <c r="AD23" s="7"/>
      <c r="AE23" s="7"/>
      <c r="AF23" s="10"/>
      <c r="AG23" s="6">
        <f>SQRT((AG17-AG19)^2+(AH17-AH19)^2)</f>
        <v>54.53162357188377</v>
      </c>
      <c r="AH23" s="7"/>
      <c r="AI23" s="7"/>
      <c r="AJ23" s="10"/>
      <c r="AK23" s="6">
        <f>SQRT((AK17-AK19)^2+(AL17-AL19)^2)</f>
        <v>54.53162357188377</v>
      </c>
      <c r="AL23" s="7"/>
      <c r="AM23" s="7"/>
      <c r="AN23" s="10"/>
      <c r="AO23" s="6">
        <f>SQRT((AO17-AO19)^2+(AP17-AP19)^2)</f>
        <v>54.53162357188377</v>
      </c>
      <c r="AP23" s="7"/>
      <c r="AQ23" s="7"/>
      <c r="AR23" s="10"/>
    </row>
    <row r="24" spans="1:44" ht="12.75">
      <c r="A24" s="2"/>
      <c r="B24" s="2" t="s">
        <v>33</v>
      </c>
      <c r="C24" s="2"/>
      <c r="D24" s="2">
        <f>RADIANS(Gaine!$D$15)</f>
        <v>0.6981317007977318</v>
      </c>
      <c r="E24" s="2"/>
      <c r="F24" s="2"/>
      <c r="G24" s="2"/>
      <c r="H24" s="2"/>
      <c r="I24" s="2"/>
      <c r="J24" s="2"/>
      <c r="K24" s="2"/>
      <c r="L24" s="2"/>
      <c r="M24" s="6">
        <f>RADIANS(Gaine!$D$15)</f>
        <v>0.6981317007977318</v>
      </c>
      <c r="N24" s="7"/>
      <c r="O24" s="7"/>
      <c r="P24" s="10"/>
      <c r="Q24" s="6">
        <f>RADIANS(Gaine!$D$15)</f>
        <v>0.6981317007977318</v>
      </c>
      <c r="R24" s="7"/>
      <c r="S24" s="7"/>
      <c r="T24" s="10"/>
      <c r="U24" s="6">
        <f>RADIANS(Gaine!$D$15)</f>
        <v>0.6981317007977318</v>
      </c>
      <c r="V24" s="7"/>
      <c r="W24" s="7"/>
      <c r="X24" s="10"/>
      <c r="Y24" s="6">
        <f>RADIANS(Gaine!$D$15)</f>
        <v>0.6981317007977318</v>
      </c>
      <c r="Z24" s="7"/>
      <c r="AA24" s="7"/>
      <c r="AB24" s="10"/>
      <c r="AC24" s="6">
        <f>RADIANS(Gaine!$D$15)</f>
        <v>0.6981317007977318</v>
      </c>
      <c r="AD24" s="7"/>
      <c r="AE24" s="7"/>
      <c r="AF24" s="10"/>
      <c r="AG24" s="6">
        <f>RADIANS(Gaine!$D$15)</f>
        <v>0.6981317007977318</v>
      </c>
      <c r="AH24" s="7"/>
      <c r="AI24" s="7"/>
      <c r="AJ24" s="10"/>
      <c r="AK24" s="6">
        <f>RADIANS(Gaine!$D$15)</f>
        <v>0.6981317007977318</v>
      </c>
      <c r="AL24" s="7"/>
      <c r="AM24" s="7"/>
      <c r="AN24" s="10"/>
      <c r="AO24" s="6">
        <f>RADIANS(Gaine!$D$15)</f>
        <v>0.6981317007977318</v>
      </c>
      <c r="AP24" s="7"/>
      <c r="AQ24" s="7"/>
      <c r="AR24" s="10"/>
    </row>
    <row r="25" spans="1:4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6"/>
      <c r="N25" s="7"/>
      <c r="O25" s="7"/>
      <c r="P25" s="10"/>
      <c r="Q25" s="6"/>
      <c r="R25" s="7"/>
      <c r="S25" s="7"/>
      <c r="T25" s="10"/>
      <c r="U25" s="6"/>
      <c r="V25" s="7"/>
      <c r="W25" s="7"/>
      <c r="X25" s="10"/>
      <c r="Y25" s="6"/>
      <c r="Z25" s="7"/>
      <c r="AA25" s="7"/>
      <c r="AB25" s="10"/>
      <c r="AC25" s="6"/>
      <c r="AD25" s="7"/>
      <c r="AE25" s="7"/>
      <c r="AF25" s="10"/>
      <c r="AG25" s="6"/>
      <c r="AH25" s="7"/>
      <c r="AI25" s="7"/>
      <c r="AJ25" s="10"/>
      <c r="AK25" s="6"/>
      <c r="AL25" s="7"/>
      <c r="AM25" s="7"/>
      <c r="AN25" s="10"/>
      <c r="AO25" s="6"/>
      <c r="AP25" s="7"/>
      <c r="AQ25" s="7"/>
      <c r="AR25" s="10"/>
    </row>
    <row r="26" spans="1:44" ht="12.75">
      <c r="A26" s="2"/>
      <c r="B26" s="1" t="s">
        <v>28</v>
      </c>
      <c r="C26" s="2"/>
      <c r="D26" s="2"/>
      <c r="E26" s="2"/>
      <c r="F26" s="2"/>
      <c r="G26" s="1" t="s">
        <v>29</v>
      </c>
      <c r="H26" s="2"/>
      <c r="I26" s="2"/>
      <c r="J26" s="2"/>
      <c r="K26" s="2"/>
      <c r="L26" s="2"/>
      <c r="M26" s="6"/>
      <c r="N26" s="7"/>
      <c r="O26" s="7"/>
      <c r="P26" s="10"/>
      <c r="Q26" s="6"/>
      <c r="R26" s="7"/>
      <c r="S26" s="7"/>
      <c r="T26" s="10"/>
      <c r="U26" s="6"/>
      <c r="V26" s="7"/>
      <c r="W26" s="7"/>
      <c r="X26" s="10"/>
      <c r="Y26" s="6"/>
      <c r="Z26" s="7"/>
      <c r="AA26" s="7"/>
      <c r="AB26" s="10"/>
      <c r="AC26" s="6"/>
      <c r="AD26" s="7"/>
      <c r="AE26" s="7"/>
      <c r="AF26" s="10"/>
      <c r="AG26" s="6"/>
      <c r="AH26" s="7"/>
      <c r="AI26" s="7"/>
      <c r="AJ26" s="10"/>
      <c r="AK26" s="6"/>
      <c r="AL26" s="7"/>
      <c r="AM26" s="7"/>
      <c r="AN26" s="10"/>
      <c r="AO26" s="6"/>
      <c r="AP26" s="7"/>
      <c r="AQ26" s="7"/>
      <c r="AR26" s="10"/>
    </row>
    <row r="27" spans="1:44" ht="12.75">
      <c r="A27" s="2"/>
      <c r="B27" s="12" t="s">
        <v>54</v>
      </c>
      <c r="C27" s="2"/>
      <c r="D27" s="2">
        <f>D23+D13</f>
        <v>66.84101542629836</v>
      </c>
      <c r="E27" s="2"/>
      <c r="F27" s="2"/>
      <c r="G27" s="12" t="s">
        <v>55</v>
      </c>
      <c r="H27" s="2"/>
      <c r="I27" s="2">
        <f>D23-I13</f>
        <v>41.34724714080234</v>
      </c>
      <c r="J27" s="2"/>
      <c r="K27" s="2"/>
      <c r="L27" s="2"/>
      <c r="M27" s="6">
        <f>M23+M13</f>
        <v>66.84101542629836</v>
      </c>
      <c r="N27" s="7"/>
      <c r="O27" s="7">
        <f>M23-O13</f>
        <v>41.34724714080234</v>
      </c>
      <c r="P27" s="10"/>
      <c r="Q27" s="6">
        <f>Q23+Q13</f>
        <v>65.62906485439613</v>
      </c>
      <c r="R27" s="7"/>
      <c r="S27" s="7">
        <f>Q23-S13</f>
        <v>42.829396771099766</v>
      </c>
      <c r="T27" s="10"/>
      <c r="U27" s="6">
        <f>U23+U13</f>
        <v>64.28504430139267</v>
      </c>
      <c r="V27" s="7"/>
      <c r="W27" s="7">
        <f>U23-W13</f>
        <v>44.376550210336916</v>
      </c>
      <c r="X27" s="10"/>
      <c r="Y27" s="6">
        <f>Y23+Y13</f>
        <v>62.829042942461015</v>
      </c>
      <c r="Z27" s="7"/>
      <c r="AA27" s="7">
        <f>Y23-AA13</f>
        <v>45.980920735906366</v>
      </c>
      <c r="AB27" s="10"/>
      <c r="AC27" s="6">
        <f>AC23+AC13</f>
        <v>61.2808377085116</v>
      </c>
      <c r="AD27" s="7"/>
      <c r="AE27" s="7">
        <f>AC23-AE13</f>
        <v>47.63396195755574</v>
      </c>
      <c r="AF27" s="10"/>
      <c r="AG27" s="6">
        <f>AG23+AG13</f>
        <v>59.659488283220405</v>
      </c>
      <c r="AH27" s="7"/>
      <c r="AI27" s="7">
        <f>AG23-AI13</f>
        <v>49.32630448220925</v>
      </c>
      <c r="AJ27" s="10"/>
      <c r="AK27" s="6">
        <f>AK23+AK13</f>
        <v>57.983072441116285</v>
      </c>
      <c r="AL27" s="7"/>
      <c r="AM27" s="7">
        <f>AK23-AM13</f>
        <v>51.047686790020926</v>
      </c>
      <c r="AN27" s="10"/>
      <c r="AO27" s="6">
        <f>AO23+AO13</f>
        <v>56.26853517734535</v>
      </c>
      <c r="AP27" s="7"/>
      <c r="AQ27" s="7">
        <f>AO23-AQ13</f>
        <v>52.78688199433143</v>
      </c>
      <c r="AR27" s="10"/>
    </row>
    <row r="28" spans="1:44" ht="12.75">
      <c r="A28" s="2"/>
      <c r="B28" s="2" t="s">
        <v>43</v>
      </c>
      <c r="C28" s="2"/>
      <c r="D28" s="2">
        <f>D21-D24</f>
        <v>0.8726646259971648</v>
      </c>
      <c r="E28" s="2"/>
      <c r="F28" s="2"/>
      <c r="G28" s="2" t="s">
        <v>44</v>
      </c>
      <c r="H28" s="2"/>
      <c r="I28" s="2">
        <f>D21+D24</f>
        <v>2.2689280275926285</v>
      </c>
      <c r="J28" s="2"/>
      <c r="K28" s="2"/>
      <c r="L28" s="2"/>
      <c r="M28" s="6">
        <f>M21-M24</f>
        <v>0.8726646259971648</v>
      </c>
      <c r="N28" s="7"/>
      <c r="O28" s="7">
        <f>I21+I24</f>
        <v>0</v>
      </c>
      <c r="P28" s="10"/>
      <c r="Q28" s="6">
        <f>Q21-Q24</f>
        <v>0.8726646259971648</v>
      </c>
      <c r="R28" s="7"/>
      <c r="S28" s="7">
        <f>N21+N24</f>
        <v>0</v>
      </c>
      <c r="T28" s="10"/>
      <c r="U28" s="6">
        <f>U21-U24</f>
        <v>0.8726646259971648</v>
      </c>
      <c r="V28" s="7"/>
      <c r="W28" s="7">
        <f>R21+R24</f>
        <v>0</v>
      </c>
      <c r="X28" s="10"/>
      <c r="Y28" s="6">
        <f>Y21-Y24</f>
        <v>0.8726646259971648</v>
      </c>
      <c r="Z28" s="7"/>
      <c r="AA28" s="7">
        <f>V21+V24</f>
        <v>0</v>
      </c>
      <c r="AB28" s="10"/>
      <c r="AC28" s="6">
        <f>AC21-AC24</f>
        <v>0.8726646259971648</v>
      </c>
      <c r="AD28" s="7"/>
      <c r="AE28" s="7">
        <f>Z21+Z24</f>
        <v>0</v>
      </c>
      <c r="AF28" s="10"/>
      <c r="AG28" s="6">
        <f>AG21-AG24</f>
        <v>0.8726646259971648</v>
      </c>
      <c r="AH28" s="7"/>
      <c r="AI28" s="7">
        <f>AD21+AD24</f>
        <v>0</v>
      </c>
      <c r="AJ28" s="10"/>
      <c r="AK28" s="6">
        <f>AK21-AK24</f>
        <v>0.8726646259971648</v>
      </c>
      <c r="AL28" s="7"/>
      <c r="AM28" s="7">
        <f>AH21+AH24</f>
        <v>0</v>
      </c>
      <c r="AN28" s="10"/>
      <c r="AO28" s="6">
        <f>AO21-AO24</f>
        <v>0.8726646259971648</v>
      </c>
      <c r="AP28" s="7"/>
      <c r="AQ28" s="7">
        <f>AL21+AL24</f>
        <v>0</v>
      </c>
      <c r="AR28" s="10"/>
    </row>
    <row r="29" spans="1:44" ht="12.75">
      <c r="A29" s="2"/>
      <c r="B29" s="2"/>
      <c r="C29" s="2"/>
      <c r="D29" s="2" t="s">
        <v>5</v>
      </c>
      <c r="E29" s="2" t="s">
        <v>6</v>
      </c>
      <c r="F29" s="2"/>
      <c r="G29" s="2"/>
      <c r="H29" s="2"/>
      <c r="I29" s="2" t="s">
        <v>5</v>
      </c>
      <c r="J29" s="2" t="s">
        <v>6</v>
      </c>
      <c r="K29" s="2"/>
      <c r="L29" s="2"/>
      <c r="M29" s="6" t="s">
        <v>5</v>
      </c>
      <c r="N29" s="7" t="s">
        <v>6</v>
      </c>
      <c r="O29" s="7" t="s">
        <v>5</v>
      </c>
      <c r="P29" s="10" t="s">
        <v>6</v>
      </c>
      <c r="Q29" s="6" t="s">
        <v>5</v>
      </c>
      <c r="R29" s="7" t="s">
        <v>6</v>
      </c>
      <c r="S29" s="7" t="s">
        <v>5</v>
      </c>
      <c r="T29" s="10" t="s">
        <v>6</v>
      </c>
      <c r="U29" s="6" t="s">
        <v>5</v>
      </c>
      <c r="V29" s="7" t="s">
        <v>6</v>
      </c>
      <c r="W29" s="7" t="s">
        <v>5</v>
      </c>
      <c r="X29" s="10" t="s">
        <v>6</v>
      </c>
      <c r="Y29" s="6" t="s">
        <v>5</v>
      </c>
      <c r="Z29" s="7" t="s">
        <v>6</v>
      </c>
      <c r="AA29" s="7" t="s">
        <v>5</v>
      </c>
      <c r="AB29" s="10" t="s">
        <v>6</v>
      </c>
      <c r="AC29" s="6" t="s">
        <v>5</v>
      </c>
      <c r="AD29" s="7" t="s">
        <v>6</v>
      </c>
      <c r="AE29" s="7" t="s">
        <v>5</v>
      </c>
      <c r="AF29" s="10" t="s">
        <v>6</v>
      </c>
      <c r="AG29" s="6" t="s">
        <v>5</v>
      </c>
      <c r="AH29" s="7" t="s">
        <v>6</v>
      </c>
      <c r="AI29" s="7" t="s">
        <v>5</v>
      </c>
      <c r="AJ29" s="10" t="s">
        <v>6</v>
      </c>
      <c r="AK29" s="6" t="s">
        <v>5</v>
      </c>
      <c r="AL29" s="7" t="s">
        <v>6</v>
      </c>
      <c r="AM29" s="7" t="s">
        <v>5</v>
      </c>
      <c r="AN29" s="10" t="s">
        <v>6</v>
      </c>
      <c r="AO29" s="6" t="s">
        <v>5</v>
      </c>
      <c r="AP29" s="7" t="s">
        <v>6</v>
      </c>
      <c r="AQ29" s="7" t="s">
        <v>5</v>
      </c>
      <c r="AR29" s="10" t="s">
        <v>6</v>
      </c>
    </row>
    <row r="30" spans="1:44" ht="12.75">
      <c r="A30" s="2"/>
      <c r="B30" s="2" t="s">
        <v>8</v>
      </c>
      <c r="C30" s="2"/>
      <c r="D30" s="2">
        <f>D16</f>
        <v>0</v>
      </c>
      <c r="E30" s="2">
        <f>E16</f>
        <v>0</v>
      </c>
      <c r="F30" s="2"/>
      <c r="G30" s="2" t="s">
        <v>8</v>
      </c>
      <c r="H30" s="2"/>
      <c r="I30" s="2">
        <f>D16</f>
        <v>0</v>
      </c>
      <c r="J30" s="2">
        <f>E16</f>
        <v>0</v>
      </c>
      <c r="K30" s="2"/>
      <c r="L30" s="2"/>
      <c r="M30" s="6">
        <f>M16</f>
        <v>0</v>
      </c>
      <c r="N30" s="7">
        <f>N16</f>
        <v>0</v>
      </c>
      <c r="O30" s="7">
        <f>M16</f>
        <v>0</v>
      </c>
      <c r="P30" s="10">
        <f>N16</f>
        <v>0</v>
      </c>
      <c r="Q30" s="6">
        <f>Q16</f>
        <v>0</v>
      </c>
      <c r="R30" s="7">
        <f>R16</f>
        <v>0</v>
      </c>
      <c r="S30" s="7">
        <f>Q16</f>
        <v>0</v>
      </c>
      <c r="T30" s="10">
        <f>R16</f>
        <v>0</v>
      </c>
      <c r="U30" s="6">
        <f>U16</f>
        <v>0</v>
      </c>
      <c r="V30" s="7">
        <f>V16</f>
        <v>0</v>
      </c>
      <c r="W30" s="7">
        <f>U16</f>
        <v>0</v>
      </c>
      <c r="X30" s="10">
        <f>V16</f>
        <v>0</v>
      </c>
      <c r="Y30" s="6">
        <f>Y16</f>
        <v>0</v>
      </c>
      <c r="Z30" s="7">
        <f>Z16</f>
        <v>0</v>
      </c>
      <c r="AA30" s="7">
        <f>Y16</f>
        <v>0</v>
      </c>
      <c r="AB30" s="10">
        <f>Z16</f>
        <v>0</v>
      </c>
      <c r="AC30" s="6">
        <f>AC16</f>
        <v>0</v>
      </c>
      <c r="AD30" s="7">
        <f>AD16</f>
        <v>0</v>
      </c>
      <c r="AE30" s="7">
        <f>AC16</f>
        <v>0</v>
      </c>
      <c r="AF30" s="10">
        <f>AD16</f>
        <v>0</v>
      </c>
      <c r="AG30" s="6">
        <f>AG16</f>
        <v>0</v>
      </c>
      <c r="AH30" s="7">
        <f>AH16</f>
        <v>0</v>
      </c>
      <c r="AI30" s="7">
        <f>AG16</f>
        <v>0</v>
      </c>
      <c r="AJ30" s="10">
        <f>AH16</f>
        <v>0</v>
      </c>
      <c r="AK30" s="6">
        <f>AK16</f>
        <v>0</v>
      </c>
      <c r="AL30" s="7">
        <f>AL16</f>
        <v>0</v>
      </c>
      <c r="AM30" s="7">
        <f>AK16</f>
        <v>0</v>
      </c>
      <c r="AN30" s="10">
        <f>AL16</f>
        <v>0</v>
      </c>
      <c r="AO30" s="6">
        <f>AO16</f>
        <v>0</v>
      </c>
      <c r="AP30" s="7">
        <f>AP16</f>
        <v>0</v>
      </c>
      <c r="AQ30" s="7">
        <f>AO16</f>
        <v>0</v>
      </c>
      <c r="AR30" s="10">
        <f>AP16</f>
        <v>0</v>
      </c>
    </row>
    <row r="31" spans="1:44" ht="12.75">
      <c r="A31" s="2"/>
      <c r="B31" s="2" t="s">
        <v>59</v>
      </c>
      <c r="C31" s="2"/>
      <c r="D31" s="2"/>
      <c r="E31" s="2">
        <f>SQRT((D18-D17)^2+(E18-E17)^2)</f>
        <v>51.419840528729765</v>
      </c>
      <c r="F31" s="2"/>
      <c r="G31" s="2" t="s">
        <v>59</v>
      </c>
      <c r="H31" s="2"/>
      <c r="I31" s="2"/>
      <c r="J31" s="2">
        <f>SQRT((D18-D17)^2+(E18-E17)^2)</f>
        <v>51.419840528729765</v>
      </c>
      <c r="K31" s="2"/>
      <c r="L31" s="2"/>
      <c r="M31" s="6"/>
      <c r="N31" s="7">
        <f>SQRT((M18-M17)^2+(N18-N17)^2)</f>
        <v>51.419840528729765</v>
      </c>
      <c r="O31" s="7"/>
      <c r="P31" s="10">
        <f>SQRT((M18-M17)^2+(N18-N17)^2)</f>
        <v>51.419840528729765</v>
      </c>
      <c r="Q31" s="6"/>
      <c r="R31" s="7">
        <f>SQRT((Q18-Q17)^2+(R18-R17)^2)</f>
        <v>51.419840528729765</v>
      </c>
      <c r="S31" s="7"/>
      <c r="T31" s="10">
        <f>SQRT((Q18-Q17)^2+(R18-R17)^2)</f>
        <v>51.419840528729765</v>
      </c>
      <c r="U31" s="6"/>
      <c r="V31" s="7">
        <f>SQRT((U18-U17)^2+(V18-V17)^2)</f>
        <v>51.419840528729765</v>
      </c>
      <c r="W31" s="7"/>
      <c r="X31" s="10">
        <f>SQRT((U18-U17)^2+(V18-V17)^2)</f>
        <v>51.419840528729765</v>
      </c>
      <c r="Y31" s="6"/>
      <c r="Z31" s="7">
        <f>SQRT((Y18-Y17)^2+(Z18-Z17)^2)</f>
        <v>51.419840528729765</v>
      </c>
      <c r="AA31" s="7"/>
      <c r="AB31" s="10">
        <f>SQRT((Y18-Y17)^2+(Z18-Z17)^2)</f>
        <v>51.419840528729765</v>
      </c>
      <c r="AC31" s="6"/>
      <c r="AD31" s="7">
        <f>SQRT((AC18-AC17)^2+(AD18-AD17)^2)</f>
        <v>51.419840528729765</v>
      </c>
      <c r="AE31" s="7"/>
      <c r="AF31" s="10">
        <f>SQRT((AC18-AC17)^2+(AD18-AD17)^2)</f>
        <v>51.419840528729765</v>
      </c>
      <c r="AG31" s="6"/>
      <c r="AH31" s="7">
        <f>SQRT((AG18-AG17)^2+(AH18-AH17)^2)</f>
        <v>51.419840528729765</v>
      </c>
      <c r="AI31" s="7"/>
      <c r="AJ31" s="10">
        <f>SQRT((AG18-AG17)^2+(AH18-AH17)^2)</f>
        <v>51.419840528729765</v>
      </c>
      <c r="AK31" s="6"/>
      <c r="AL31" s="7">
        <f>SQRT((AK18-AK17)^2+(AL18-AL17)^2)</f>
        <v>51.419840528729765</v>
      </c>
      <c r="AM31" s="7"/>
      <c r="AN31" s="10">
        <f>SQRT((AK18-AK17)^2+(AL18-AL17)^2)</f>
        <v>51.419840528729765</v>
      </c>
      <c r="AO31" s="6"/>
      <c r="AP31" s="7">
        <f>SQRT((AO18-AO17)^2+(AP18-AP17)^2)</f>
        <v>51.419840528729765</v>
      </c>
      <c r="AQ31" s="7"/>
      <c r="AR31" s="10">
        <f>SQRT((AO18-AO17)^2+(AP18-AP17)^2)</f>
        <v>51.419840528729765</v>
      </c>
    </row>
    <row r="32" spans="1:44" ht="12.75">
      <c r="A32" s="2"/>
      <c r="B32" s="2" t="s">
        <v>13</v>
      </c>
      <c r="C32" s="2"/>
      <c r="D32" s="2"/>
      <c r="E32" s="2">
        <f>ATAN(E17/D18)</f>
        <v>0.23554498072086333</v>
      </c>
      <c r="F32" s="2"/>
      <c r="G32" s="2" t="s">
        <v>14</v>
      </c>
      <c r="H32" s="2"/>
      <c r="I32" s="2"/>
      <c r="J32" s="2">
        <f>ATAN(E17/D18)</f>
        <v>0.23554498072086333</v>
      </c>
      <c r="K32" s="2"/>
      <c r="L32" s="2"/>
      <c r="M32" s="6"/>
      <c r="N32" s="7">
        <f>ATAN(N17/M18)</f>
        <v>0.23554498072086333</v>
      </c>
      <c r="O32" s="7"/>
      <c r="P32" s="10">
        <f>ATAN(N17/M18)</f>
        <v>0.23554498072086333</v>
      </c>
      <c r="Q32" s="6"/>
      <c r="R32" s="7">
        <f>ATAN(R17/Q18)</f>
        <v>0.23554498072086333</v>
      </c>
      <c r="S32" s="7"/>
      <c r="T32" s="10">
        <f>ATAN(R17/Q18)</f>
        <v>0.23554498072086333</v>
      </c>
      <c r="U32" s="6"/>
      <c r="V32" s="7">
        <f>ATAN(V17/U18)</f>
        <v>0.23554498072086333</v>
      </c>
      <c r="W32" s="7"/>
      <c r="X32" s="10">
        <f>ATAN(V17/U18)</f>
        <v>0.23554498072086333</v>
      </c>
      <c r="Y32" s="6"/>
      <c r="Z32" s="7">
        <f>ATAN(Z17/Y18)</f>
        <v>0.23554498072086333</v>
      </c>
      <c r="AA32" s="7"/>
      <c r="AB32" s="10">
        <f>ATAN(Z17/Y18)</f>
        <v>0.23554498072086333</v>
      </c>
      <c r="AC32" s="6"/>
      <c r="AD32" s="7">
        <f>ATAN(AD17/AC18)</f>
        <v>0.23554498072086333</v>
      </c>
      <c r="AE32" s="7"/>
      <c r="AF32" s="10">
        <f>ATAN(AD17/AC18)</f>
        <v>0.23554498072086333</v>
      </c>
      <c r="AG32" s="6"/>
      <c r="AH32" s="7">
        <f>ATAN(AH17/AG18)</f>
        <v>0.23554498072086333</v>
      </c>
      <c r="AI32" s="7"/>
      <c r="AJ32" s="10">
        <f>ATAN(AH17/AG18)</f>
        <v>0.23554498072086333</v>
      </c>
      <c r="AK32" s="6"/>
      <c r="AL32" s="7">
        <f>ATAN(AL17/AK18)</f>
        <v>0.23554498072086333</v>
      </c>
      <c r="AM32" s="7"/>
      <c r="AN32" s="10">
        <f>ATAN(AL17/AK18)</f>
        <v>0.23554498072086333</v>
      </c>
      <c r="AO32" s="6"/>
      <c r="AP32" s="7">
        <f>ATAN(AP17/AO18)</f>
        <v>0.23554498072086333</v>
      </c>
      <c r="AQ32" s="7"/>
      <c r="AR32" s="10">
        <f>ATAN(AP17/AO18)</f>
        <v>0.23554498072086333</v>
      </c>
    </row>
    <row r="33" spans="1:44" ht="12.75">
      <c r="A33" s="2"/>
      <c r="B33" s="2" t="s">
        <v>15</v>
      </c>
      <c r="C33" s="2"/>
      <c r="D33" s="2"/>
      <c r="E33" s="2">
        <f>ACOS((Gaine!$D$11^2+E31^2-D27^2)/(2*Gaine!$D$11*E31))</f>
        <v>2.335335202274118</v>
      </c>
      <c r="F33" s="2"/>
      <c r="G33" s="2" t="s">
        <v>20</v>
      </c>
      <c r="H33" s="2"/>
      <c r="I33" s="2"/>
      <c r="J33" s="2">
        <f>ACOS((Gaine!$D$11^2+J31^2-I27^2)/(2*Gaine!$D$11*J31))</f>
        <v>0.8648170940817603</v>
      </c>
      <c r="K33" s="2"/>
      <c r="L33" s="2"/>
      <c r="M33" s="6"/>
      <c r="N33" s="7">
        <f>ACOS((Gaine!$D$11^2+N31^2-M27^2)/(2*Gaine!$D$11*N31))</f>
        <v>2.335335202274118</v>
      </c>
      <c r="O33" s="7"/>
      <c r="P33" s="10">
        <f>ACOS((Gaine!$D$11^2+P31^2-O27^2)/(2*Gaine!$D$11*P31))</f>
        <v>0.8648170940817603</v>
      </c>
      <c r="Q33" s="6"/>
      <c r="R33" s="7">
        <f>ACOS((Gaine!$D$11^2+R31^2-Q27^2)/(2*Gaine!$D$11*R31))</f>
        <v>2.232101306697604</v>
      </c>
      <c r="S33" s="7"/>
      <c r="T33" s="10">
        <f>ACOS((Gaine!$D$11^2+T31^2-S27^2)/(2*Gaine!$D$11*T31))</f>
        <v>0.9420631767750837</v>
      </c>
      <c r="U33" s="6"/>
      <c r="V33" s="7">
        <f>ACOS((Gaine!$D$11^2+V31^2-U27^2)/(2*Gaine!$D$11*V31))</f>
        <v>2.128517798046749</v>
      </c>
      <c r="W33" s="7"/>
      <c r="X33" s="10">
        <f>ACOS((Gaine!$D$11^2+X31^2-W27^2)/(2*Gaine!$D$11*X31))</f>
        <v>1.0209890574975449</v>
      </c>
      <c r="Y33" s="6"/>
      <c r="Z33" s="7">
        <f>ACOS((Gaine!$D$11^2+Z31^2-Y27^2)/(2*Gaine!$D$11*Z31))</f>
        <v>2.025582731087937</v>
      </c>
      <c r="AA33" s="7"/>
      <c r="AB33" s="10">
        <f>ACOS((Gaine!$D$11^2+AB31^2-AA27^2)/(2*Gaine!$D$11*AB31))</f>
        <v>1.101744250737824</v>
      </c>
      <c r="AC33" s="6"/>
      <c r="AD33" s="7">
        <f>ACOS((Gaine!$D$11^2+AD31^2-AC27^2)/(2*Gaine!$D$11*AD31))</f>
        <v>1.9239403442460299</v>
      </c>
      <c r="AE33" s="7"/>
      <c r="AF33" s="10">
        <f>ACOS((Gaine!$D$11^2+AF31^2-AE27^2)/(2*Gaine!$D$11*AF31))</f>
        <v>1.1844540313309122</v>
      </c>
      <c r="AG33" s="6"/>
      <c r="AH33" s="7">
        <f>ACOS((Gaine!$D$11^2+AH31^2-AG27^2)/(2*Gaine!$D$11*AH31))</f>
        <v>1.8240069454402719</v>
      </c>
      <c r="AI33" s="7"/>
      <c r="AJ33" s="10">
        <f>ACOS((Gaine!$D$11^2+AJ31^2-AI27^2)/(2*Gaine!$D$11*AJ31))</f>
        <v>1.269222548517511</v>
      </c>
      <c r="AK33" s="6"/>
      <c r="AL33" s="7">
        <f>ACOS((Gaine!$D$11^2+AL31^2-AK27^2)/(2*Gaine!$D$11*AL31))</f>
        <v>1.7260466526873648</v>
      </c>
      <c r="AM33" s="7"/>
      <c r="AN33" s="10">
        <f>ACOS((Gaine!$D$11^2+AN31^2-AM27^2)/(2*Gaine!$D$11*AN31))</f>
        <v>1.3561337002268963</v>
      </c>
      <c r="AO33" s="6"/>
      <c r="AP33" s="7">
        <f>ACOS((Gaine!$D$11^2+AP31^2-AO27^2)/(2*Gaine!$D$11*AP31))</f>
        <v>1.6302188980993124</v>
      </c>
      <c r="AQ33" s="7"/>
      <c r="AR33" s="10">
        <f>ACOS((Gaine!$D$11^2+AR31^2-AQ27^2)/(2*Gaine!$D$11*AR31))</f>
        <v>1.4452499915880634</v>
      </c>
    </row>
    <row r="34" spans="1:44" ht="12.75">
      <c r="A34" s="2"/>
      <c r="B34" s="2" t="s">
        <v>21</v>
      </c>
      <c r="C34" s="2"/>
      <c r="D34" s="2"/>
      <c r="E34" s="2">
        <f>PI()-E33-E32</f>
        <v>0.5707124705948117</v>
      </c>
      <c r="F34" s="2"/>
      <c r="G34" s="2" t="s">
        <v>22</v>
      </c>
      <c r="H34" s="2"/>
      <c r="I34" s="2"/>
      <c r="J34" s="2">
        <f>PI()-J33-J32</f>
        <v>2.0412305787871694</v>
      </c>
      <c r="K34" s="2"/>
      <c r="L34" s="2"/>
      <c r="M34" s="6"/>
      <c r="N34" s="7">
        <f>PI()-N33-N32</f>
        <v>0.5707124705948117</v>
      </c>
      <c r="O34" s="7"/>
      <c r="P34" s="10">
        <f>PI()-P33-P32</f>
        <v>2.0412305787871694</v>
      </c>
      <c r="Q34" s="6"/>
      <c r="R34" s="7">
        <f>PI()-R33-R32</f>
        <v>0.6739463661713259</v>
      </c>
      <c r="S34" s="7"/>
      <c r="T34" s="10">
        <f>PI()-T33-T32</f>
        <v>1.9639844960938462</v>
      </c>
      <c r="U34" s="6"/>
      <c r="V34" s="7">
        <f>PI()-V33-V32</f>
        <v>0.7775298748221806</v>
      </c>
      <c r="W34" s="7"/>
      <c r="X34" s="10">
        <f>PI()-X33-X32</f>
        <v>1.885058615371385</v>
      </c>
      <c r="Y34" s="6"/>
      <c r="Z34" s="7">
        <f>PI()-Z33-Z32</f>
        <v>0.8804649417809929</v>
      </c>
      <c r="AA34" s="7"/>
      <c r="AB34" s="10">
        <f>PI()-AB33-AB32</f>
        <v>1.8043034221311058</v>
      </c>
      <c r="AC34" s="6"/>
      <c r="AD34" s="7">
        <f>PI()-AD33-AD32</f>
        <v>0.9821073286228998</v>
      </c>
      <c r="AE34" s="7"/>
      <c r="AF34" s="10">
        <f>PI()-AF33-AF32</f>
        <v>1.7215936415380175</v>
      </c>
      <c r="AG34" s="6"/>
      <c r="AH34" s="7">
        <f>PI()-AH33-AH32</f>
        <v>1.0820407274286579</v>
      </c>
      <c r="AI34" s="7"/>
      <c r="AJ34" s="10">
        <f>PI()-AJ33-AJ32</f>
        <v>1.6368251243514187</v>
      </c>
      <c r="AK34" s="6"/>
      <c r="AL34" s="7">
        <f>PI()-AL33-AL32</f>
        <v>1.180001020181565</v>
      </c>
      <c r="AM34" s="7"/>
      <c r="AN34" s="10">
        <f>PI()-AN33-AN32</f>
        <v>1.5499139726420335</v>
      </c>
      <c r="AO34" s="6"/>
      <c r="AP34" s="7">
        <f>PI()-AP33-AP32</f>
        <v>1.2758287747696173</v>
      </c>
      <c r="AQ34" s="7"/>
      <c r="AR34" s="10">
        <f>PI()-AR33-AR32</f>
        <v>1.4607976812808663</v>
      </c>
    </row>
    <row r="35" spans="1:44" ht="12.75">
      <c r="A35" s="2"/>
      <c r="B35" s="2"/>
      <c r="C35" s="2"/>
      <c r="D35" s="2" t="s">
        <v>5</v>
      </c>
      <c r="E35" s="2" t="s">
        <v>6</v>
      </c>
      <c r="F35" s="2"/>
      <c r="G35" s="2"/>
      <c r="H35" s="2"/>
      <c r="I35" s="2" t="s">
        <v>5</v>
      </c>
      <c r="J35" s="2" t="s">
        <v>6</v>
      </c>
      <c r="K35" s="2"/>
      <c r="L35" s="2"/>
      <c r="M35" s="6" t="s">
        <v>5</v>
      </c>
      <c r="N35" s="7" t="s">
        <v>6</v>
      </c>
      <c r="O35" s="7" t="s">
        <v>5</v>
      </c>
      <c r="P35" s="10" t="s">
        <v>6</v>
      </c>
      <c r="Q35" s="6" t="s">
        <v>5</v>
      </c>
      <c r="R35" s="7" t="s">
        <v>6</v>
      </c>
      <c r="S35" s="7" t="s">
        <v>5</v>
      </c>
      <c r="T35" s="10" t="s">
        <v>6</v>
      </c>
      <c r="U35" s="6" t="s">
        <v>5</v>
      </c>
      <c r="V35" s="7" t="s">
        <v>6</v>
      </c>
      <c r="W35" s="7" t="s">
        <v>5</v>
      </c>
      <c r="X35" s="10" t="s">
        <v>6</v>
      </c>
      <c r="Y35" s="6" t="s">
        <v>5</v>
      </c>
      <c r="Z35" s="7" t="s">
        <v>6</v>
      </c>
      <c r="AA35" s="7" t="s">
        <v>5</v>
      </c>
      <c r="AB35" s="10" t="s">
        <v>6</v>
      </c>
      <c r="AC35" s="6" t="s">
        <v>5</v>
      </c>
      <c r="AD35" s="7" t="s">
        <v>6</v>
      </c>
      <c r="AE35" s="7" t="s">
        <v>5</v>
      </c>
      <c r="AF35" s="10" t="s">
        <v>6</v>
      </c>
      <c r="AG35" s="6" t="s">
        <v>5</v>
      </c>
      <c r="AH35" s="7" t="s">
        <v>6</v>
      </c>
      <c r="AI35" s="7" t="s">
        <v>5</v>
      </c>
      <c r="AJ35" s="10" t="s">
        <v>6</v>
      </c>
      <c r="AK35" s="6" t="s">
        <v>5</v>
      </c>
      <c r="AL35" s="7" t="s">
        <v>6</v>
      </c>
      <c r="AM35" s="7" t="s">
        <v>5</v>
      </c>
      <c r="AN35" s="10" t="s">
        <v>6</v>
      </c>
      <c r="AO35" s="6" t="s">
        <v>5</v>
      </c>
      <c r="AP35" s="7" t="s">
        <v>6</v>
      </c>
      <c r="AQ35" s="7" t="s">
        <v>5</v>
      </c>
      <c r="AR35" s="10" t="s">
        <v>6</v>
      </c>
    </row>
    <row r="36" spans="1:44" ht="12.75">
      <c r="A36" s="2"/>
      <c r="B36" s="2" t="s">
        <v>24</v>
      </c>
      <c r="C36" s="2"/>
      <c r="D36" s="2">
        <f>D18+Gaine!$D$11*COS(E34)</f>
        <v>66.83032579095114</v>
      </c>
      <c r="E36" s="2">
        <f>E18+Gaine!$D$11*SIN(E34)</f>
        <v>10.80463482818578</v>
      </c>
      <c r="F36" s="2"/>
      <c r="G36" s="2" t="s">
        <v>25</v>
      </c>
      <c r="H36" s="2"/>
      <c r="I36" s="2">
        <f>D18+Gaine!$D$11*COS(J34)</f>
        <v>40.93453184058344</v>
      </c>
      <c r="J36" s="2">
        <f>E18+Gaine!$D$11*SIN(J34)</f>
        <v>17.827430747323195</v>
      </c>
      <c r="K36" s="2"/>
      <c r="L36" s="2"/>
      <c r="M36" s="6">
        <f>M18+Gaine!$D$11*COS(N34)</f>
        <v>66.83032579095114</v>
      </c>
      <c r="N36" s="7">
        <f>N18+Gaine!$D$11*SIN(N34)</f>
        <v>10.80463482818578</v>
      </c>
      <c r="O36" s="7">
        <f>M18+Gaine!$D$11*COS(P34)</f>
        <v>40.93453184058344</v>
      </c>
      <c r="P36" s="10">
        <f>J18+Gaine!$D$11*SIN(P34)</f>
        <v>17.827430747323195</v>
      </c>
      <c r="Q36" s="6">
        <f>Q18+Gaine!$D$11*COS(R34)</f>
        <v>65.62729861228705</v>
      </c>
      <c r="R36" s="7">
        <f>R18+Gaine!$D$11*SIN(R34)</f>
        <v>12.481487815257095</v>
      </c>
      <c r="S36" s="7">
        <f>Q18+Gaine!$D$11*COS(T34)</f>
        <v>42.33729510799375</v>
      </c>
      <c r="T36" s="10">
        <f>O18+Gaine!$D$11*SIN(T34)</f>
        <v>18.473845125961827</v>
      </c>
      <c r="U36" s="6">
        <f>U18+Gaine!$D$11*COS(V34)</f>
        <v>64.2529711124239</v>
      </c>
      <c r="V36" s="7">
        <f>V18+Gaine!$D$11*SIN(V34)</f>
        <v>14.030424600432097</v>
      </c>
      <c r="W36" s="7">
        <f>U18+Gaine!$D$11*COS(X34)</f>
        <v>43.81770052725608</v>
      </c>
      <c r="X36" s="10">
        <f>S18+Gaine!$D$11*SIN(X34)</f>
        <v>19.02049350646061</v>
      </c>
      <c r="Y36" s="6">
        <f>Y18+Gaine!$D$11*COS(Z34)</f>
        <v>62.73585453275402</v>
      </c>
      <c r="Z36" s="7">
        <f>Z18+Gaine!$D$11*SIN(Z34)</f>
        <v>15.420700675408002</v>
      </c>
      <c r="AA36" s="7">
        <f>Y18+Gaine!$D$11*COS(AB34)</f>
        <v>45.37218289240143</v>
      </c>
      <c r="AB36" s="10">
        <f>W18+Gaine!$D$11*SIN(AB34)</f>
        <v>19.457217396601653</v>
      </c>
      <c r="AC36" s="6">
        <f>AC18+Gaine!$D$11*COS(AD34)</f>
        <v>61.105423607192456</v>
      </c>
      <c r="AD36" s="7">
        <f>AD18+Gaine!$D$11*SIN(AD34)</f>
        <v>16.633387102596167</v>
      </c>
      <c r="AE36" s="7">
        <f>AC18+Gaine!$D$11*COS(AF34)</f>
        <v>46.99547106703268</v>
      </c>
      <c r="AF36" s="10">
        <f>AA18+Gaine!$D$11*SIN(AF34)</f>
        <v>19.77303228872502</v>
      </c>
      <c r="AG36" s="6">
        <f>AG18+Gaine!$D$11*COS(AH34)</f>
        <v>59.39055096992586</v>
      </c>
      <c r="AH36" s="7">
        <f>AH18+Gaine!$D$11*SIN(AH34)</f>
        <v>17.658356449036376</v>
      </c>
      <c r="AI36" s="7">
        <f>AG18+Gaine!$D$11*COS(AJ34)</f>
        <v>48.6803834146824</v>
      </c>
      <c r="AJ36" s="10">
        <f>AE18+Gaine!$D$11*SIN(AJ34)</f>
        <v>19.95641781652596</v>
      </c>
      <c r="AK36" s="6">
        <f>AK18+Gaine!$D$11*COS(AL34)</f>
        <v>57.6184776220135</v>
      </c>
      <c r="AL36" s="7">
        <f>AL18+Gaine!$D$11*SIN(AL34)</f>
        <v>18.492128020400454</v>
      </c>
      <c r="AM36" s="7">
        <f>AK18+Gaine!$D$11*COS(AN34)</f>
        <v>50.41761672963619</v>
      </c>
      <c r="AN36" s="10">
        <f>AI18+Gaine!$D$11*SIN(AN34)</f>
        <v>19.995639431314217</v>
      </c>
      <c r="AO36" s="6">
        <f>AO18+Gaine!$D$11*COS(AP34)</f>
        <v>55.814176073577315</v>
      </c>
      <c r="AP36" s="7">
        <f>AP18+Gaine!$D$11*SIN(AP34)</f>
        <v>19.136231514732494</v>
      </c>
      <c r="AQ36" s="7">
        <f>AO18+Gaine!$D$11*COS(AR34)</f>
        <v>52.1955390907497</v>
      </c>
      <c r="AR36" s="10">
        <f>AM18+Gaine!$D$11*SIN(AR34)</f>
        <v>19.879124932979067</v>
      </c>
    </row>
    <row r="37" spans="1:44" ht="12.75">
      <c r="A37" s="2"/>
      <c r="B37" s="2" t="s">
        <v>37</v>
      </c>
      <c r="C37" s="2"/>
      <c r="D37" s="2">
        <f>E34-D22</f>
        <v>-0.8859923980094704</v>
      </c>
      <c r="E37" s="2"/>
      <c r="F37" s="2"/>
      <c r="G37" s="2" t="s">
        <v>39</v>
      </c>
      <c r="H37" s="2"/>
      <c r="I37" s="2">
        <f>J34-D22</f>
        <v>0.5845257101828873</v>
      </c>
      <c r="J37" s="2"/>
      <c r="K37" s="2"/>
      <c r="L37" s="2"/>
      <c r="M37" s="6">
        <f>N34-M22</f>
        <v>-0.8859923980094704</v>
      </c>
      <c r="N37" s="7"/>
      <c r="O37" s="7">
        <f>P34-M22</f>
        <v>0.5845257101828873</v>
      </c>
      <c r="P37" s="10"/>
      <c r="Q37" s="6">
        <f>R34-Q22</f>
        <v>-0.7827585024329562</v>
      </c>
      <c r="R37" s="7"/>
      <c r="S37" s="7">
        <f>T34-Q22</f>
        <v>0.5072796274895641</v>
      </c>
      <c r="T37" s="10"/>
      <c r="U37" s="6">
        <f>V34-U22</f>
        <v>-0.6791749937821014</v>
      </c>
      <c r="V37" s="7"/>
      <c r="W37" s="7">
        <f>X34-U22</f>
        <v>0.428353746767103</v>
      </c>
      <c r="X37" s="10"/>
      <c r="Y37" s="6">
        <f>Z34-Y22</f>
        <v>-0.5762399268232892</v>
      </c>
      <c r="Z37" s="7"/>
      <c r="AA37" s="7">
        <f>AB34-Y22</f>
        <v>0.3475985535268238</v>
      </c>
      <c r="AB37" s="10"/>
      <c r="AC37" s="6">
        <f>AD34-AC22</f>
        <v>-0.4745975399813822</v>
      </c>
      <c r="AD37" s="7"/>
      <c r="AE37" s="7">
        <f>AF34-AC22</f>
        <v>0.2648887729337355</v>
      </c>
      <c r="AF37" s="10"/>
      <c r="AG37" s="6">
        <f>AH34-AG22</f>
        <v>-0.3746641411756242</v>
      </c>
      <c r="AH37" s="7"/>
      <c r="AI37" s="7">
        <f>AJ34-AG22</f>
        <v>0.18012025574713664</v>
      </c>
      <c r="AJ37" s="10"/>
      <c r="AK37" s="6">
        <f>AL34-AK22</f>
        <v>-0.2767038484227171</v>
      </c>
      <c r="AL37" s="7"/>
      <c r="AM37" s="7">
        <f>AN34-AK22</f>
        <v>0.0932091040377514</v>
      </c>
      <c r="AN37" s="10"/>
      <c r="AO37" s="6">
        <f>AP34-AO22</f>
        <v>-0.18087609383466474</v>
      </c>
      <c r="AP37" s="7"/>
      <c r="AQ37" s="7">
        <f>AR34-AO22</f>
        <v>0.004092812676584234</v>
      </c>
      <c r="AR37" s="10"/>
    </row>
    <row r="38" spans="1:44" ht="12.75">
      <c r="A38" s="2"/>
      <c r="B38" s="2" t="s">
        <v>34</v>
      </c>
      <c r="C38" s="2"/>
      <c r="D38" s="2">
        <f>D18+Gaine!$D$13*COS(D37)</f>
        <v>75.30084632291965</v>
      </c>
      <c r="E38" s="2">
        <f>E18+Gaine!$D$13*SIN(D37)</f>
        <v>-30.981723246843504</v>
      </c>
      <c r="F38" s="2"/>
      <c r="G38" s="2" t="s">
        <v>40</v>
      </c>
      <c r="H38" s="2"/>
      <c r="I38" s="2">
        <f>D18+Gaine!$D$13*COS(I37)</f>
        <v>83.35895578596649</v>
      </c>
      <c r="J38" s="2">
        <f>E18+Gaine!$D$13*SIN(I37)</f>
        <v>22.072155963338357</v>
      </c>
      <c r="K38" s="2"/>
      <c r="L38" s="2"/>
      <c r="M38" s="6">
        <f>M18+Gaine!$D$13*COS(M37)</f>
        <v>75.30084632291965</v>
      </c>
      <c r="N38" s="2">
        <f>N18+Gaine!$D$13*SIN(M37)</f>
        <v>-30.981723246843504</v>
      </c>
      <c r="O38" s="7">
        <f>M18+Gaine!$D$13*COS(O37)</f>
        <v>83.35895578596649</v>
      </c>
      <c r="P38" s="10">
        <f>N18+Gaine!$D$13*SIN(O37)</f>
        <v>22.072155963338357</v>
      </c>
      <c r="Q38" s="6">
        <f>Q18+Gaine!$D$13*COS(Q37)</f>
        <v>78.35883350782224</v>
      </c>
      <c r="R38" s="2">
        <f>R18+Gaine!$D$13*SIN(Q37)</f>
        <v>-28.209511907787743</v>
      </c>
      <c r="S38" s="7">
        <f>Q18+Gaine!$D$13*COS(S37)</f>
        <v>84.96277202526242</v>
      </c>
      <c r="T38" s="10">
        <f>R18+Gaine!$D$13*SIN(S37)</f>
        <v>19.432050131407323</v>
      </c>
      <c r="U38" s="6">
        <f>U18+Gaine!$D$13*COS(U37)</f>
        <v>81.1236484889991</v>
      </c>
      <c r="V38" s="2">
        <f>V18+Gaine!$D$13*SIN(U37)</f>
        <v>-25.126052310962514</v>
      </c>
      <c r="W38" s="7">
        <f>U18+Gaine!$D$13*COS(W37)</f>
        <v>86.38603170218992</v>
      </c>
      <c r="X38" s="10">
        <f>V18+Gaine!$D$13*SIN(W37)</f>
        <v>16.614954016404308</v>
      </c>
      <c r="Y38" s="6">
        <f>Y18+Gaine!$D$13*COS(Y37)</f>
        <v>83.54069368616871</v>
      </c>
      <c r="Z38" s="2">
        <f>Z18+Gaine!$D$13*SIN(Y37)</f>
        <v>-21.794996376476018</v>
      </c>
      <c r="AA38" s="7">
        <f>Y18+Gaine!$D$13*COS(AA37)</f>
        <v>87.60773816528508</v>
      </c>
      <c r="AB38" s="10">
        <f>Z18+Gaine!$D$13*SIN(AA37)</f>
        <v>13.625638703978591</v>
      </c>
      <c r="AC38" s="6">
        <f>AC18+Gaine!$D$13*COS(AC37)</f>
        <v>85.5790684014795</v>
      </c>
      <c r="AD38" s="2">
        <f>AD18+Gaine!$D$13*SIN(AC37)</f>
        <v>-18.27922021539331</v>
      </c>
      <c r="AE38" s="7">
        <f>AC18+Gaine!$D$13*COS(AE37)</f>
        <v>88.60486505243969</v>
      </c>
      <c r="AF38" s="10">
        <f>AD18+Gaine!$D$13*SIN(AE37)</f>
        <v>10.472076884883952</v>
      </c>
      <c r="AG38" s="6">
        <f>AG18+Gaine!$D$13*COS(AG37)</f>
        <v>87.22522341159429</v>
      </c>
      <c r="AH38" s="2">
        <f>AH18+Gaine!$D$13*SIN(AG37)</f>
        <v>-14.638399569518949</v>
      </c>
      <c r="AI38" s="7">
        <f>AG18+Gaine!$D$13*COS(AI37)</f>
        <v>89.35288625356642</v>
      </c>
      <c r="AJ38" s="10">
        <f>AH18+Gaine!$D$13*SIN(AI37)</f>
        <v>7.165915399574711</v>
      </c>
      <c r="AK38" s="6">
        <f>AK18+Gaine!$D$13*COS(AK37)</f>
        <v>88.4784450409674</v>
      </c>
      <c r="AL38" s="2">
        <f>AL18+Gaine!$D$13*SIN(AK37)</f>
        <v>-10.927454746154364</v>
      </c>
      <c r="AM38" s="7">
        <f>AK18+Gaine!$D$13*COS(AM37)</f>
        <v>89.82636702248142</v>
      </c>
      <c r="AN38" s="10">
        <f>AL18+Gaine!$D$13*SIN(AM37)</f>
        <v>3.722967873968881</v>
      </c>
      <c r="AO38" s="6">
        <f>AO18+Gaine!$D$13*COS(AO37)</f>
        <v>89.34745874131258</v>
      </c>
      <c r="AP38" s="2">
        <f>AP18+Gaine!$D$13*SIN(AO37)</f>
        <v>-7.19565776011504</v>
      </c>
      <c r="AQ38" s="7">
        <f>AO18+Gaine!$D$13*COS(AQ37)</f>
        <v>89.99966497815555</v>
      </c>
      <c r="AR38" s="10">
        <f>AP18+Gaine!$D$13*SIN(AQ37)</f>
        <v>0.16371205000256353</v>
      </c>
    </row>
    <row r="39" spans="1:44" ht="12.75">
      <c r="A39" s="2"/>
      <c r="B39" s="2" t="s">
        <v>35</v>
      </c>
      <c r="C39" s="2"/>
      <c r="D39" s="2">
        <f>-Gaine!$D$14+DEGREES(D37)</f>
        <v>-45.763625086617694</v>
      </c>
      <c r="E39" s="2"/>
      <c r="F39" s="2"/>
      <c r="G39" s="2" t="s">
        <v>41</v>
      </c>
      <c r="H39" s="2"/>
      <c r="I39" s="2">
        <f>-Gaine!$D$14+DEGREES(I37)</f>
        <v>38.49085621036657</v>
      </c>
      <c r="J39" s="2"/>
      <c r="K39" s="2"/>
      <c r="L39" s="2"/>
      <c r="M39" s="6">
        <f>-Gaine!$D$14+DEGREES(M37)</f>
        <v>-45.763625086617694</v>
      </c>
      <c r="N39" s="7"/>
      <c r="O39" s="7">
        <f>-Gaine!$D$14+DEGREES(O37)</f>
        <v>38.49085621036657</v>
      </c>
      <c r="P39" s="10"/>
      <c r="Q39" s="6">
        <f>-Gaine!$D$14+DEGREES(Q37)</f>
        <v>-39.84875856738917</v>
      </c>
      <c r="R39" s="7"/>
      <c r="S39" s="7">
        <f>-Gaine!$D$14+DEGREES(S37)</f>
        <v>34.0649816881206</v>
      </c>
      <c r="T39" s="10"/>
      <c r="U39" s="6">
        <f>-Gaine!$D$14+DEGREES(U37)</f>
        <v>-33.91386069453834</v>
      </c>
      <c r="V39" s="7"/>
      <c r="W39" s="7">
        <f>-Gaine!$D$14+DEGREES(W37)</f>
        <v>29.542861828370636</v>
      </c>
      <c r="X39" s="10"/>
      <c r="Y39" s="6">
        <f>-Gaine!$D$14+DEGREES(Y37)</f>
        <v>-28.016115793901868</v>
      </c>
      <c r="Z39" s="7"/>
      <c r="AA39" s="7">
        <f>-Gaine!$D$14+DEGREES(AA37)</f>
        <v>24.91593008193924</v>
      </c>
      <c r="AB39" s="10"/>
      <c r="AC39" s="6">
        <f>-Gaine!$D$14+DEGREES(AC37)</f>
        <v>-22.192436008224547</v>
      </c>
      <c r="AD39" s="7"/>
      <c r="AE39" s="7">
        <f>-Gaine!$D$14+DEGREES(AE37)</f>
        <v>20.177008729502234</v>
      </c>
      <c r="AF39" s="10"/>
      <c r="AG39" s="6">
        <f>-Gaine!$D$14+DEGREES(AG37)</f>
        <v>-16.46667402425691</v>
      </c>
      <c r="AH39" s="7"/>
      <c r="AI39" s="7">
        <f>-Gaine!$D$14+DEGREES(AI37)</f>
        <v>15.32013045912794</v>
      </c>
      <c r="AJ39" s="10"/>
      <c r="AK39" s="6">
        <f>-Gaine!$D$14+DEGREES(AK37)</f>
        <v>-10.853962689649352</v>
      </c>
      <c r="AL39" s="7"/>
      <c r="AM39" s="7">
        <f>-Gaine!$D$14+DEGREES(AM37)</f>
        <v>10.340488273558956</v>
      </c>
      <c r="AN39" s="10"/>
      <c r="AO39" s="6">
        <f>-Gaine!$D$14+DEGREES(AO37)</f>
        <v>-5.36343679153854</v>
      </c>
      <c r="AP39" s="7"/>
      <c r="AQ39" s="7">
        <f>-Gaine!$D$14+DEGREES(AQ37)</f>
        <v>5.234500892705919</v>
      </c>
      <c r="AR39" s="10"/>
    </row>
    <row r="40" spans="1:44" ht="13.5" thickBot="1">
      <c r="A40" s="2"/>
      <c r="B40" s="2" t="s">
        <v>36</v>
      </c>
      <c r="C40" s="2"/>
      <c r="D40" s="2">
        <f>SQRT((D20-D38)^2+(E20-E38)^2)</f>
        <v>31.106521418753815</v>
      </c>
      <c r="E40" s="2"/>
      <c r="F40" s="2"/>
      <c r="G40" s="2" t="s">
        <v>42</v>
      </c>
      <c r="H40" s="2"/>
      <c r="I40" s="2">
        <f>SQRT((D20-I38)^2+(E20-J38)^2)</f>
        <v>26.36922487927187</v>
      </c>
      <c r="J40" s="2"/>
      <c r="K40" s="2"/>
      <c r="L40" s="2"/>
      <c r="M40" s="8">
        <f>SQRT((M20-M38)^2+(N20-N38)^2)</f>
        <v>31.106521418753815</v>
      </c>
      <c r="N40" s="9"/>
      <c r="O40" s="9">
        <f>SQRT((M20-O38)^2+(N20-P38)^2)</f>
        <v>26.36922487927187</v>
      </c>
      <c r="P40" s="11"/>
      <c r="Q40" s="8">
        <f>SQRT((Q20-Q38)^2+(R20-R38)^2)</f>
        <v>27.262368866360525</v>
      </c>
      <c r="R40" s="9"/>
      <c r="S40" s="9">
        <f>SQRT((Q20-S38)^2+(R20-T38)^2)</f>
        <v>23.433116122540266</v>
      </c>
      <c r="T40" s="11"/>
      <c r="U40" s="8">
        <f>SQRT((U20-U38)^2+(V20-V38)^2)</f>
        <v>23.33222087759241</v>
      </c>
      <c r="V40" s="9"/>
      <c r="W40" s="9">
        <f>SQRT((U20-W38)^2+(V20-X38)^2)</f>
        <v>20.397091541096003</v>
      </c>
      <c r="X40" s="11"/>
      <c r="Y40" s="8">
        <f>SQRT((Y20-Y38)^2+(Z20-Z38)^2)</f>
        <v>19.36466820194999</v>
      </c>
      <c r="Z40" s="9"/>
      <c r="AA40" s="9">
        <f>SQRT((Y20-AA38)^2+(Z20-AB38)^2)</f>
        <v>17.257863817232764</v>
      </c>
      <c r="AB40" s="11"/>
      <c r="AC40" s="8">
        <f>SQRT((AC20-AC38)^2+(AD20-AD38)^2)</f>
        <v>15.396575413206557</v>
      </c>
      <c r="AD40" s="9"/>
      <c r="AE40" s="9">
        <f>SQRT((AC20-AE38)^2+(AD20-AF38)^2)</f>
        <v>14.013535608760295</v>
      </c>
      <c r="AF40" s="11"/>
      <c r="AG40" s="8">
        <f>SQRT((AG20-AG38)^2+(AH20-AH38)^2)</f>
        <v>11.456384124044122</v>
      </c>
      <c r="AH40" s="9"/>
      <c r="AI40" s="9">
        <f>SQRT((AG20-AI38)^2+(AH20-AJ38)^2)</f>
        <v>10.663635547809756</v>
      </c>
      <c r="AJ40" s="11"/>
      <c r="AK40" s="8">
        <f>SQRT((AK20-AK38)^2+(AL20-AL38)^2)</f>
        <v>7.5661700992306775</v>
      </c>
      <c r="AL40" s="9"/>
      <c r="AM40" s="9">
        <f>SQRT((AK20-AM38)^2+(AL20-AN38)^2)</f>
        <v>7.209229408082382</v>
      </c>
      <c r="AN40" s="11"/>
      <c r="AO40" s="8">
        <f>SQRT((AO20-AO38)^2+(AP20-AP38)^2)</f>
        <v>3.743018267440526</v>
      </c>
      <c r="AP40" s="9"/>
      <c r="AQ40" s="9">
        <f>SQRT((AO20-AQ38)^2+(AP20-AR38)^2)</f>
        <v>3.6531002573712743</v>
      </c>
      <c r="AR40" s="11"/>
    </row>
    <row r="41" spans="1:44" ht="13.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5" t="s">
        <v>5</v>
      </c>
      <c r="N41" s="36" t="s">
        <v>6</v>
      </c>
      <c r="O41" s="37"/>
      <c r="P41" s="38" t="s">
        <v>169</v>
      </c>
      <c r="Q41" s="35" t="s">
        <v>5</v>
      </c>
      <c r="R41" s="36" t="s">
        <v>6</v>
      </c>
      <c r="S41" s="37"/>
      <c r="T41" s="38" t="s">
        <v>170</v>
      </c>
      <c r="U41" s="35" t="s">
        <v>5</v>
      </c>
      <c r="V41" s="36" t="s">
        <v>6</v>
      </c>
      <c r="W41" s="37"/>
      <c r="X41" s="38" t="s">
        <v>171</v>
      </c>
      <c r="Y41" s="35" t="s">
        <v>5</v>
      </c>
      <c r="Z41" s="36" t="s">
        <v>6</v>
      </c>
      <c r="AA41" s="37"/>
      <c r="AB41" s="38" t="s">
        <v>172</v>
      </c>
      <c r="AC41" s="35" t="s">
        <v>5</v>
      </c>
      <c r="AD41" s="36" t="s">
        <v>6</v>
      </c>
      <c r="AE41" s="37"/>
      <c r="AF41" s="38" t="s">
        <v>173</v>
      </c>
      <c r="AG41" s="35" t="s">
        <v>5</v>
      </c>
      <c r="AH41" s="36" t="s">
        <v>6</v>
      </c>
      <c r="AI41" s="37"/>
      <c r="AJ41" s="38" t="s">
        <v>174</v>
      </c>
      <c r="AK41" s="35" t="s">
        <v>5</v>
      </c>
      <c r="AL41" s="36" t="s">
        <v>6</v>
      </c>
      <c r="AM41" s="37"/>
      <c r="AN41" s="38" t="s">
        <v>175</v>
      </c>
      <c r="AO41" s="35" t="s">
        <v>5</v>
      </c>
      <c r="AP41" s="36" t="s">
        <v>6</v>
      </c>
      <c r="AQ41" s="37"/>
      <c r="AR41" s="38" t="s">
        <v>176</v>
      </c>
    </row>
    <row r="42" spans="1:44" ht="13.5" thickBot="1">
      <c r="A42" s="2"/>
      <c r="B42" s="2"/>
      <c r="C42" s="2"/>
      <c r="D42" s="2"/>
      <c r="E42" s="2"/>
      <c r="F42" s="2"/>
      <c r="G42" s="2"/>
      <c r="H42" s="2"/>
      <c r="I42" s="3" t="s">
        <v>178</v>
      </c>
      <c r="J42" s="4"/>
      <c r="K42" s="5"/>
      <c r="L42" s="2"/>
      <c r="M42" s="6">
        <v>0</v>
      </c>
      <c r="N42" s="7">
        <v>0</v>
      </c>
      <c r="O42" s="7"/>
      <c r="P42" s="10"/>
      <c r="Q42" s="6">
        <v>0</v>
      </c>
      <c r="R42" s="7">
        <v>0</v>
      </c>
      <c r="S42" s="7"/>
      <c r="T42" s="10"/>
      <c r="U42" s="6">
        <v>0</v>
      </c>
      <c r="V42" s="7">
        <v>0</v>
      </c>
      <c r="W42" s="7"/>
      <c r="X42" s="10"/>
      <c r="Y42" s="6">
        <v>0</v>
      </c>
      <c r="Z42" s="7">
        <v>0</v>
      </c>
      <c r="AA42" s="7"/>
      <c r="AB42" s="10"/>
      <c r="AC42" s="6">
        <v>0</v>
      </c>
      <c r="AD42" s="7">
        <v>0</v>
      </c>
      <c r="AE42" s="7"/>
      <c r="AF42" s="10"/>
      <c r="AG42" s="6">
        <v>0</v>
      </c>
      <c r="AH42" s="7">
        <v>0</v>
      </c>
      <c r="AI42" s="7"/>
      <c r="AJ42" s="10"/>
      <c r="AK42" s="6">
        <v>0</v>
      </c>
      <c r="AL42" s="7">
        <v>0</v>
      </c>
      <c r="AM42" s="7"/>
      <c r="AN42" s="10"/>
      <c r="AO42" s="6">
        <v>0</v>
      </c>
      <c r="AP42" s="7">
        <v>0</v>
      </c>
      <c r="AQ42" s="7"/>
      <c r="AR42" s="10"/>
    </row>
    <row r="43" spans="1:44" ht="12.75">
      <c r="A43" s="2"/>
      <c r="B43" s="3" t="s">
        <v>30</v>
      </c>
      <c r="C43" s="4"/>
      <c r="D43" s="4"/>
      <c r="E43" s="4"/>
      <c r="F43" s="4"/>
      <c r="G43" s="5"/>
      <c r="H43" s="2"/>
      <c r="I43" s="33" t="s">
        <v>153</v>
      </c>
      <c r="J43" s="7">
        <f>-Gaine!$D$15</f>
        <v>-40</v>
      </c>
      <c r="K43" s="10">
        <f>M39</f>
        <v>-45.763625086617694</v>
      </c>
      <c r="L43" s="2"/>
      <c r="M43" s="6">
        <f>Gaine!$D$8</f>
        <v>0</v>
      </c>
      <c r="N43" s="7">
        <f>SQRT(Gaine!$D$7^2-Gaine!$D$8^2)</f>
        <v>20</v>
      </c>
      <c r="O43" s="7"/>
      <c r="P43" s="10"/>
      <c r="Q43" s="6">
        <f>Gaine!$D$8</f>
        <v>0</v>
      </c>
      <c r="R43" s="7">
        <f>SQRT(Gaine!$D$7^2-Gaine!$D$8^2)</f>
        <v>20</v>
      </c>
      <c r="S43" s="7"/>
      <c r="T43" s="10"/>
      <c r="U43" s="6">
        <f>Gaine!$D$8</f>
        <v>0</v>
      </c>
      <c r="V43" s="7">
        <f>SQRT(Gaine!$D$7^2-Gaine!$D$8^2)</f>
        <v>20</v>
      </c>
      <c r="W43" s="7"/>
      <c r="X43" s="10"/>
      <c r="Y43" s="6">
        <f>Gaine!$D$8</f>
        <v>0</v>
      </c>
      <c r="Z43" s="7">
        <f>SQRT(Gaine!$D$7^2-Gaine!$D$8^2)</f>
        <v>20</v>
      </c>
      <c r="AA43" s="7"/>
      <c r="AB43" s="10"/>
      <c r="AC43" s="6">
        <f>Gaine!$D$8</f>
        <v>0</v>
      </c>
      <c r="AD43" s="7">
        <f>SQRT(Gaine!$D$7^2-Gaine!$D$8^2)</f>
        <v>20</v>
      </c>
      <c r="AE43" s="7"/>
      <c r="AF43" s="10"/>
      <c r="AG43" s="6">
        <f>Gaine!$D$8</f>
        <v>0</v>
      </c>
      <c r="AH43" s="7">
        <f>SQRT(Gaine!$D$7^2-Gaine!$D$8^2)</f>
        <v>20</v>
      </c>
      <c r="AI43" s="7"/>
      <c r="AJ43" s="10"/>
      <c r="AK43" s="6">
        <f>Gaine!$D$8</f>
        <v>0</v>
      </c>
      <c r="AL43" s="7">
        <f>SQRT(Gaine!$D$7^2-Gaine!$D$8^2)</f>
        <v>20</v>
      </c>
      <c r="AM43" s="7"/>
      <c r="AN43" s="10"/>
      <c r="AO43" s="6">
        <f>Gaine!$D$8</f>
        <v>0</v>
      </c>
      <c r="AP43" s="7">
        <f>SQRT(Gaine!$D$7^2-Gaine!$D$8^2)</f>
        <v>20</v>
      </c>
      <c r="AQ43" s="7"/>
      <c r="AR43" s="10"/>
    </row>
    <row r="44" spans="1:44" ht="12.75">
      <c r="A44" s="2"/>
      <c r="B44" s="6"/>
      <c r="C44" s="50" t="s">
        <v>5</v>
      </c>
      <c r="D44" s="50" t="s">
        <v>6</v>
      </c>
      <c r="E44" s="50"/>
      <c r="F44" s="50" t="s">
        <v>5</v>
      </c>
      <c r="G44" s="51" t="s">
        <v>6</v>
      </c>
      <c r="H44" s="2"/>
      <c r="I44" s="33" t="s">
        <v>161</v>
      </c>
      <c r="J44" s="7">
        <f>-Gaine!$D$15*7/8</f>
        <v>-35</v>
      </c>
      <c r="K44" s="10">
        <f>Q39</f>
        <v>-39.84875856738917</v>
      </c>
      <c r="L44" s="2"/>
      <c r="M44" s="6">
        <f>ACOS(Gaine!$D$8/Gaine!$D$7)</f>
        <v>1.5707963267948966</v>
      </c>
      <c r="N44" s="7"/>
      <c r="O44" s="7"/>
      <c r="P44" s="10"/>
      <c r="Q44" s="6">
        <f>ACOS(Gaine!$D$8/Gaine!$D$7)</f>
        <v>1.5707963267948966</v>
      </c>
      <c r="R44" s="7"/>
      <c r="S44" s="7"/>
      <c r="T44" s="10"/>
      <c r="U44" s="6">
        <f>ACOS(Gaine!$D$8/Gaine!$D$7)</f>
        <v>1.5707963267948966</v>
      </c>
      <c r="V44" s="7"/>
      <c r="W44" s="7"/>
      <c r="X44" s="10"/>
      <c r="Y44" s="6">
        <f>ACOS(Gaine!$D$8/Gaine!$D$7)</f>
        <v>1.5707963267948966</v>
      </c>
      <c r="Z44" s="7"/>
      <c r="AA44" s="7"/>
      <c r="AB44" s="10"/>
      <c r="AC44" s="6">
        <f>ACOS(Gaine!$D$8/Gaine!$D$7)</f>
        <v>1.5707963267948966</v>
      </c>
      <c r="AD44" s="7"/>
      <c r="AE44" s="7"/>
      <c r="AF44" s="10"/>
      <c r="AG44" s="6">
        <f>ACOS(Gaine!$D$8/Gaine!$D$7)</f>
        <v>1.5707963267948966</v>
      </c>
      <c r="AH44" s="7"/>
      <c r="AI44" s="7"/>
      <c r="AJ44" s="10"/>
      <c r="AK44" s="6">
        <f>ACOS(Gaine!$D$8/Gaine!$D$7)</f>
        <v>1.5707963267948966</v>
      </c>
      <c r="AL44" s="7"/>
      <c r="AM44" s="7"/>
      <c r="AN44" s="10"/>
      <c r="AO44" s="6">
        <f>ACOS(Gaine!$D$8/Gaine!$D$7)</f>
        <v>1.5707963267948966</v>
      </c>
      <c r="AP44" s="7"/>
      <c r="AQ44" s="7"/>
      <c r="AR44" s="10"/>
    </row>
    <row r="45" spans="1:44" ht="12.75">
      <c r="A45" s="2"/>
      <c r="B45" s="6" t="s">
        <v>27</v>
      </c>
      <c r="C45" s="50">
        <f>D3</f>
        <v>0</v>
      </c>
      <c r="D45" s="50">
        <f>E3</f>
        <v>0</v>
      </c>
      <c r="E45" s="50"/>
      <c r="F45" s="50">
        <f>Gaine!D5+30</f>
        <v>90</v>
      </c>
      <c r="G45" s="51">
        <f>Gaine!D10</f>
        <v>12</v>
      </c>
      <c r="H45" s="2"/>
      <c r="I45" s="33" t="s">
        <v>162</v>
      </c>
      <c r="J45" s="7">
        <f>-Gaine!$D$15*6/8</f>
        <v>-30</v>
      </c>
      <c r="K45" s="10">
        <f>U39</f>
        <v>-33.91386069453834</v>
      </c>
      <c r="L45" s="2"/>
      <c r="M45" s="6">
        <f>Gaine!$D$5</f>
        <v>60</v>
      </c>
      <c r="N45" s="7">
        <f>Gaine!$D$6</f>
        <v>23</v>
      </c>
      <c r="O45" s="7"/>
      <c r="P45" s="10"/>
      <c r="Q45" s="6">
        <f>Gaine!$D$5</f>
        <v>60</v>
      </c>
      <c r="R45" s="7">
        <f>Gaine!$D$6</f>
        <v>23</v>
      </c>
      <c r="S45" s="7"/>
      <c r="T45" s="10"/>
      <c r="U45" s="6">
        <f>Gaine!$D$5</f>
        <v>60</v>
      </c>
      <c r="V45" s="7">
        <f>Gaine!$D$6</f>
        <v>23</v>
      </c>
      <c r="W45" s="7"/>
      <c r="X45" s="10"/>
      <c r="Y45" s="6">
        <f>Gaine!$D$5</f>
        <v>60</v>
      </c>
      <c r="Z45" s="7">
        <f>Gaine!$D$6</f>
        <v>23</v>
      </c>
      <c r="AA45" s="7"/>
      <c r="AB45" s="10"/>
      <c r="AC45" s="6">
        <f>Gaine!$D$5</f>
        <v>60</v>
      </c>
      <c r="AD45" s="7">
        <f>Gaine!$D$6</f>
        <v>23</v>
      </c>
      <c r="AE45" s="7"/>
      <c r="AF45" s="10"/>
      <c r="AG45" s="6">
        <f>Gaine!$D$5</f>
        <v>60</v>
      </c>
      <c r="AH45" s="7">
        <f>Gaine!$D$6</f>
        <v>23</v>
      </c>
      <c r="AI45" s="7"/>
      <c r="AJ45" s="10"/>
      <c r="AK45" s="6">
        <f>Gaine!$D$5</f>
        <v>60</v>
      </c>
      <c r="AL45" s="7">
        <f>Gaine!$D$6</f>
        <v>23</v>
      </c>
      <c r="AM45" s="7"/>
      <c r="AN45" s="10"/>
      <c r="AO45" s="6">
        <f>Gaine!$D$5</f>
        <v>60</v>
      </c>
      <c r="AP45" s="7">
        <f>Gaine!$D$6</f>
        <v>23</v>
      </c>
      <c r="AQ45" s="7"/>
      <c r="AR45" s="10"/>
    </row>
    <row r="46" spans="1:44" ht="12.75">
      <c r="A46" s="2"/>
      <c r="B46" s="6"/>
      <c r="C46" s="50">
        <f>D4</f>
        <v>0</v>
      </c>
      <c r="D46" s="50">
        <f>E4</f>
        <v>20</v>
      </c>
      <c r="E46" s="50"/>
      <c r="F46" s="50">
        <f>F45+D19</f>
        <v>144</v>
      </c>
      <c r="G46" s="51">
        <f>E19</f>
        <v>19.595917942265423</v>
      </c>
      <c r="H46" s="2"/>
      <c r="I46" s="33" t="s">
        <v>163</v>
      </c>
      <c r="J46" s="7">
        <f>-Gaine!$D$15*5/8</f>
        <v>-25</v>
      </c>
      <c r="K46" s="10">
        <f>Y39</f>
        <v>-28.016115793901868</v>
      </c>
      <c r="L46" s="2"/>
      <c r="M46" s="6">
        <f>SQRT(($D$6-$D$4)^2+($E$4-$E$6)^2)</f>
        <v>60.07495318350236</v>
      </c>
      <c r="N46" s="7"/>
      <c r="O46" s="7"/>
      <c r="P46" s="10"/>
      <c r="Q46" s="6">
        <f>SQRT(($D$6-$D$4)^2+($E$4-$E$6)^2)</f>
        <v>60.07495318350236</v>
      </c>
      <c r="R46" s="7"/>
      <c r="S46" s="7"/>
      <c r="T46" s="10"/>
      <c r="U46" s="6">
        <f>SQRT(($D$6-$D$4)^2+($E$4-$E$6)^2)</f>
        <v>60.07495318350236</v>
      </c>
      <c r="V46" s="7"/>
      <c r="W46" s="7"/>
      <c r="X46" s="10"/>
      <c r="Y46" s="6">
        <f>SQRT(($D$6-$D$4)^2+($E$4-$E$6)^2)</f>
        <v>60.07495318350236</v>
      </c>
      <c r="Z46" s="7"/>
      <c r="AA46" s="7"/>
      <c r="AB46" s="10"/>
      <c r="AC46" s="6">
        <f>SQRT(($D$6-$D$4)^2+($E$4-$E$6)^2)</f>
        <v>60.07495318350236</v>
      </c>
      <c r="AD46" s="7"/>
      <c r="AE46" s="7"/>
      <c r="AF46" s="10"/>
      <c r="AG46" s="6">
        <f>SQRT(($D$6-$D$4)^2+($E$4-$E$6)^2)</f>
        <v>60.07495318350236</v>
      </c>
      <c r="AH46" s="7"/>
      <c r="AI46" s="7"/>
      <c r="AJ46" s="10"/>
      <c r="AK46" s="6">
        <f>SQRT(($D$6-$D$4)^2+($E$4-$E$6)^2)</f>
        <v>60.07495318350236</v>
      </c>
      <c r="AL46" s="7"/>
      <c r="AM46" s="7"/>
      <c r="AN46" s="10"/>
      <c r="AO46" s="6">
        <f>SQRT(($D$6-$D$4)^2+($E$4-$E$6)^2)</f>
        <v>60.07495318350236</v>
      </c>
      <c r="AP46" s="7"/>
      <c r="AQ46" s="7"/>
      <c r="AR46" s="10"/>
    </row>
    <row r="47" spans="1:44" ht="12.75">
      <c r="A47" s="2"/>
      <c r="B47" s="6"/>
      <c r="C47" s="50">
        <f>D6</f>
        <v>60</v>
      </c>
      <c r="D47" s="50">
        <f>E6</f>
        <v>23</v>
      </c>
      <c r="E47" s="50"/>
      <c r="F47" s="50">
        <f>F45+D18</f>
        <v>140</v>
      </c>
      <c r="G47" s="51">
        <f>E18</f>
        <v>0</v>
      </c>
      <c r="H47" s="2"/>
      <c r="I47" s="33" t="s">
        <v>164</v>
      </c>
      <c r="J47" s="7">
        <f>-Gaine!$D$15*4/8</f>
        <v>-20</v>
      </c>
      <c r="K47" s="10">
        <f>AC39</f>
        <v>-22.192436008224547</v>
      </c>
      <c r="L47" s="2"/>
      <c r="M47" s="6"/>
      <c r="N47" s="7"/>
      <c r="O47" s="7"/>
      <c r="P47" s="10"/>
      <c r="Q47" s="6"/>
      <c r="R47" s="7"/>
      <c r="S47" s="7"/>
      <c r="T47" s="10"/>
      <c r="U47" s="6"/>
      <c r="V47" s="7"/>
      <c r="W47" s="7"/>
      <c r="X47" s="10"/>
      <c r="Y47" s="6"/>
      <c r="Z47" s="7"/>
      <c r="AA47" s="7"/>
      <c r="AB47" s="10"/>
      <c r="AC47" s="6"/>
      <c r="AD47" s="7"/>
      <c r="AE47" s="7"/>
      <c r="AF47" s="10"/>
      <c r="AG47" s="6"/>
      <c r="AH47" s="7"/>
      <c r="AI47" s="7"/>
      <c r="AJ47" s="10"/>
      <c r="AK47" s="6"/>
      <c r="AL47" s="7"/>
      <c r="AM47" s="7"/>
      <c r="AN47" s="10"/>
      <c r="AO47" s="6"/>
      <c r="AP47" s="7"/>
      <c r="AQ47" s="7"/>
      <c r="AR47" s="10"/>
    </row>
    <row r="48" spans="1:44" ht="12.75">
      <c r="A48" s="2"/>
      <c r="B48" s="6"/>
      <c r="C48" s="50"/>
      <c r="D48" s="50"/>
      <c r="E48" s="50"/>
      <c r="F48" s="50">
        <f>F45+D20</f>
        <v>179.8477879236698</v>
      </c>
      <c r="G48" s="51">
        <f>E20</f>
        <v>-3.4862297099063264</v>
      </c>
      <c r="H48" s="2"/>
      <c r="I48" s="33" t="s">
        <v>165</v>
      </c>
      <c r="J48" s="7">
        <f>-Gaine!$D$15*3/8</f>
        <v>-15</v>
      </c>
      <c r="K48" s="10">
        <f>AG39</f>
        <v>-16.46667402425691</v>
      </c>
      <c r="L48" s="2"/>
      <c r="M48" s="6" t="s">
        <v>5</v>
      </c>
      <c r="N48" s="7" t="s">
        <v>6</v>
      </c>
      <c r="O48" s="7" t="s">
        <v>5</v>
      </c>
      <c r="P48" s="10" t="s">
        <v>6</v>
      </c>
      <c r="Q48" s="6" t="s">
        <v>5</v>
      </c>
      <c r="R48" s="7" t="s">
        <v>6</v>
      </c>
      <c r="S48" s="7" t="s">
        <v>5</v>
      </c>
      <c r="T48" s="10" t="s">
        <v>6</v>
      </c>
      <c r="U48" s="6" t="s">
        <v>5</v>
      </c>
      <c r="V48" s="7" t="s">
        <v>6</v>
      </c>
      <c r="W48" s="7" t="s">
        <v>5</v>
      </c>
      <c r="X48" s="10" t="s">
        <v>6</v>
      </c>
      <c r="Y48" s="6" t="s">
        <v>5</v>
      </c>
      <c r="Z48" s="7" t="s">
        <v>6</v>
      </c>
      <c r="AA48" s="7" t="s">
        <v>5</v>
      </c>
      <c r="AB48" s="10" t="s">
        <v>6</v>
      </c>
      <c r="AC48" s="6" t="s">
        <v>5</v>
      </c>
      <c r="AD48" s="7" t="s">
        <v>6</v>
      </c>
      <c r="AE48" s="7" t="s">
        <v>5</v>
      </c>
      <c r="AF48" s="10" t="s">
        <v>6</v>
      </c>
      <c r="AG48" s="6" t="s">
        <v>5</v>
      </c>
      <c r="AH48" s="7" t="s">
        <v>6</v>
      </c>
      <c r="AI48" s="7" t="s">
        <v>5</v>
      </c>
      <c r="AJ48" s="10" t="s">
        <v>6</v>
      </c>
      <c r="AK48" s="6" t="s">
        <v>5</v>
      </c>
      <c r="AL48" s="7" t="s">
        <v>6</v>
      </c>
      <c r="AM48" s="7" t="s">
        <v>5</v>
      </c>
      <c r="AN48" s="10" t="s">
        <v>6</v>
      </c>
      <c r="AO48" s="6" t="s">
        <v>5</v>
      </c>
      <c r="AP48" s="7" t="s">
        <v>6</v>
      </c>
      <c r="AQ48" s="7" t="s">
        <v>5</v>
      </c>
      <c r="AR48" s="10" t="s">
        <v>6</v>
      </c>
    </row>
    <row r="49" spans="1:44" ht="12.75">
      <c r="A49" s="2"/>
      <c r="B49" s="6" t="s">
        <v>28</v>
      </c>
      <c r="C49" s="50">
        <f>D3</f>
        <v>0</v>
      </c>
      <c r="D49" s="50">
        <f>E3</f>
        <v>0</v>
      </c>
      <c r="E49" s="50"/>
      <c r="F49" s="50">
        <f>F45</f>
        <v>90</v>
      </c>
      <c r="G49" s="51">
        <f>G45</f>
        <v>12</v>
      </c>
      <c r="H49" s="2"/>
      <c r="I49" s="33" t="s">
        <v>166</v>
      </c>
      <c r="J49" s="7">
        <f>-Gaine!$D$15*2/8</f>
        <v>-10</v>
      </c>
      <c r="K49" s="10">
        <f>AK39</f>
        <v>-10.853962689649352</v>
      </c>
      <c r="L49" s="2"/>
      <c r="M49" s="6">
        <f>$D$5-ABS(RADIANS($J$52))</f>
        <v>1.4835298641951802</v>
      </c>
      <c r="N49" s="7"/>
      <c r="O49" s="6">
        <f>$D$5+ABS(RADIANS($J$52))</f>
        <v>1.658062789394613</v>
      </c>
      <c r="P49" s="10"/>
      <c r="Q49" s="6">
        <f>$D$5-ABS(RADIANS($J$53))</f>
        <v>1.3962634015954636</v>
      </c>
      <c r="R49" s="7"/>
      <c r="S49" s="6">
        <f>$D$5+ABS(RADIANS($J$53))</f>
        <v>1.7453292519943295</v>
      </c>
      <c r="T49" s="10"/>
      <c r="U49" s="6">
        <f>$D$5-ABS(RADIANS($J$54))</f>
        <v>1.3089969389957472</v>
      </c>
      <c r="V49" s="7"/>
      <c r="W49" s="6">
        <f>$D$5+ABS(RADIANS($J$54))</f>
        <v>1.832595714594046</v>
      </c>
      <c r="X49" s="10"/>
      <c r="Y49" s="6">
        <f>$D$5-ABS(RADIANS($J$55))</f>
        <v>1.2217304763960306</v>
      </c>
      <c r="Z49" s="7"/>
      <c r="AA49" s="6">
        <f>$D$5+ABS(RADIANS($J$55))</f>
        <v>1.9198621771937625</v>
      </c>
      <c r="AB49" s="10"/>
      <c r="AC49" s="6">
        <f>$D$5-ABS(RADIANS($J$56))</f>
        <v>1.1344640137963142</v>
      </c>
      <c r="AD49" s="7"/>
      <c r="AE49" s="6">
        <f>$D$5+ABS(RADIANS($J$56))</f>
        <v>2.007128639793479</v>
      </c>
      <c r="AF49" s="10"/>
      <c r="AG49" s="6">
        <f>$D$5-ABS(RADIANS($J$57))</f>
        <v>1.0471975511965979</v>
      </c>
      <c r="AH49" s="7"/>
      <c r="AI49" s="6">
        <f>$D$5+ABS(RADIANS($J$57))</f>
        <v>2.0943951023931953</v>
      </c>
      <c r="AJ49" s="10"/>
      <c r="AK49" s="6">
        <f>$D$5-ABS(RADIANS($J$58))</f>
        <v>0.9599310885968813</v>
      </c>
      <c r="AL49" s="7"/>
      <c r="AM49" s="6">
        <f>$D$5+ABS(RADIANS($J$58))</f>
        <v>2.181661564992912</v>
      </c>
      <c r="AN49" s="10"/>
      <c r="AO49" s="6">
        <f>$D$5-ABS(RADIANS($J$59))</f>
        <v>0.8726646259971648</v>
      </c>
      <c r="AP49" s="7"/>
      <c r="AQ49" s="6">
        <f>$D$5+ABS(RADIANS($J$59))</f>
        <v>2.2689280275926285</v>
      </c>
      <c r="AR49" s="10"/>
    </row>
    <row r="50" spans="1:44" ht="12.75">
      <c r="A50" s="2"/>
      <c r="B50" s="6"/>
      <c r="C50" s="50">
        <f>D11</f>
        <v>12.855752193730787</v>
      </c>
      <c r="D50" s="50">
        <f>E11</f>
        <v>15.32088886237956</v>
      </c>
      <c r="E50" s="50"/>
      <c r="F50" s="50">
        <f>F45+D36</f>
        <v>156.83032579095112</v>
      </c>
      <c r="G50" s="51">
        <f>E36</f>
        <v>10.80463482818578</v>
      </c>
      <c r="H50" s="2"/>
      <c r="I50" s="33" t="s">
        <v>167</v>
      </c>
      <c r="J50" s="7">
        <f>-Gaine!$D$15*1/8</f>
        <v>-5</v>
      </c>
      <c r="K50" s="10">
        <f>AO39</f>
        <v>-5.36343679153854</v>
      </c>
      <c r="L50" s="2"/>
      <c r="M50" s="6">
        <f>Gaine!$D$7*COS(M49)</f>
        <v>1.7431148549531628</v>
      </c>
      <c r="N50" s="7">
        <f>Gaine!$D$7*SIN(M49)</f>
        <v>19.92389396183491</v>
      </c>
      <c r="O50" s="7">
        <f>Gaine!$D$7*COS(O49)</f>
        <v>-1.7431148549531603</v>
      </c>
      <c r="P50" s="10">
        <f>Gaine!$D$7*SIN(O49)</f>
        <v>19.92389396183491</v>
      </c>
      <c r="Q50" s="6">
        <f>Gaine!$D$7*COS(Q49)</f>
        <v>3.4729635533386083</v>
      </c>
      <c r="R50" s="7">
        <f>Gaine!$D$7*SIN(Q49)</f>
        <v>19.69615506024416</v>
      </c>
      <c r="S50" s="7">
        <f>Gaine!$D$7*COS(S49)</f>
        <v>-3.472963553338606</v>
      </c>
      <c r="T50" s="10">
        <f>Gaine!$D$7*SIN(S49)</f>
        <v>19.69615506024416</v>
      </c>
      <c r="U50" s="6">
        <f>Gaine!$D$7*COS(U49)</f>
        <v>5.176380902050415</v>
      </c>
      <c r="V50" s="7">
        <f>Gaine!$D$7*SIN(U49)</f>
        <v>19.318516525781366</v>
      </c>
      <c r="W50" s="7">
        <f>Gaine!$D$7*COS(W49)</f>
        <v>-5.176380902050413</v>
      </c>
      <c r="X50" s="10">
        <f>Gaine!$D$7*SIN(W49)</f>
        <v>19.318516525781366</v>
      </c>
      <c r="Y50" s="6">
        <f>Gaine!$D$7*COS(Y49)</f>
        <v>6.840402866513377</v>
      </c>
      <c r="Z50" s="7">
        <f>Gaine!$D$7*SIN(Y49)</f>
        <v>18.793852415718167</v>
      </c>
      <c r="AA50" s="7">
        <f>Gaine!$D$7*COS(AA49)</f>
        <v>-6.840402866513374</v>
      </c>
      <c r="AB50" s="10">
        <f>Gaine!$D$7*SIN(AA49)</f>
        <v>18.79385241571817</v>
      </c>
      <c r="AC50" s="6">
        <f>Gaine!$D$7*COS(AC49)</f>
        <v>8.452365234813989</v>
      </c>
      <c r="AD50" s="7">
        <f>Gaine!$D$7*SIN(AC49)</f>
        <v>18.126155740732997</v>
      </c>
      <c r="AE50" s="7">
        <f>Gaine!$D$7*COS(AE49)</f>
        <v>-8.452365234813987</v>
      </c>
      <c r="AF50" s="10">
        <f>Gaine!$D$7*SIN(AE49)</f>
        <v>18.126155740733</v>
      </c>
      <c r="AG50" s="6">
        <f>Gaine!$D$7*COS(AG49)</f>
        <v>9.999999999999998</v>
      </c>
      <c r="AH50" s="7">
        <f>Gaine!$D$7*SIN(AG49)</f>
        <v>17.320508075688775</v>
      </c>
      <c r="AI50" s="7">
        <f>Gaine!$D$7*COS(AI49)</f>
        <v>-9.999999999999996</v>
      </c>
      <c r="AJ50" s="10">
        <f>Gaine!$D$7*SIN(AI49)</f>
        <v>17.320508075688775</v>
      </c>
      <c r="AK50" s="6">
        <f>Gaine!$D$7*COS(AK49)</f>
        <v>11.471528727020923</v>
      </c>
      <c r="AL50" s="7">
        <f>Gaine!$D$7*SIN(AK49)</f>
        <v>16.383040885779835</v>
      </c>
      <c r="AM50" s="7">
        <f>Gaine!$D$7*COS(AM49)</f>
        <v>-11.471528727020923</v>
      </c>
      <c r="AN50" s="10">
        <f>Gaine!$D$7*SIN(AM49)</f>
        <v>16.383040885779835</v>
      </c>
      <c r="AO50" s="6">
        <f>Gaine!$D$7*COS(AO49)</f>
        <v>12.855752193730787</v>
      </c>
      <c r="AP50" s="7">
        <f>Gaine!$D$7*SIN(AO49)</f>
        <v>15.32088886237956</v>
      </c>
      <c r="AQ50" s="7">
        <f>Gaine!$D$7*COS(AQ49)</f>
        <v>-12.855752193730787</v>
      </c>
      <c r="AR50" s="10">
        <f>Gaine!$D$7*SIN(AQ49)</f>
        <v>15.32088886237956</v>
      </c>
    </row>
    <row r="51" spans="1:44" ht="12.75">
      <c r="A51" s="2"/>
      <c r="B51" s="6"/>
      <c r="C51" s="50">
        <f>D6</f>
        <v>60</v>
      </c>
      <c r="D51" s="50">
        <f>E6</f>
        <v>23</v>
      </c>
      <c r="E51" s="50"/>
      <c r="F51" s="50">
        <f>F47</f>
        <v>140</v>
      </c>
      <c r="G51" s="51">
        <f>G47</f>
        <v>0</v>
      </c>
      <c r="H51" s="2"/>
      <c r="I51" s="33" t="s">
        <v>168</v>
      </c>
      <c r="J51" s="7">
        <v>0</v>
      </c>
      <c r="K51" s="10">
        <v>0</v>
      </c>
      <c r="L51" s="2"/>
      <c r="M51" s="6">
        <f>SQRT(($D$6-M50)^2+(N50-$E$6)^2)</f>
        <v>58.33804157804078</v>
      </c>
      <c r="N51" s="7"/>
      <c r="O51" s="7">
        <f>SQRT(($D$6-O50)^2+(P50-$E$6)^2)</f>
        <v>61.8196947610547</v>
      </c>
      <c r="P51" s="10"/>
      <c r="Q51" s="6">
        <f>SQRT(($D$6-Q50)^2+(R50-$E$6)^2)</f>
        <v>56.623504314269844</v>
      </c>
      <c r="R51" s="7"/>
      <c r="S51" s="7">
        <f>SQRT(($D$6-S50)^2+(T50-$E$6)^2)</f>
        <v>63.5588899653652</v>
      </c>
      <c r="T51" s="10"/>
      <c r="U51" s="6">
        <f>SQRT(($D$6-U50)^2+(V50-$E$6)^2)</f>
        <v>54.947088472165724</v>
      </c>
      <c r="V51" s="7"/>
      <c r="W51" s="7">
        <f>SQRT(($D$6-W50)^2+(X50-$E$6)^2)</f>
        <v>65.28027227317688</v>
      </c>
      <c r="X51" s="10"/>
      <c r="Y51" s="6">
        <f>SQRT(($D$6-Y50)^2+(Z50-$E$6)^2)</f>
        <v>53.32573904687453</v>
      </c>
      <c r="Z51" s="7"/>
      <c r="AA51" s="7">
        <f>SQRT(($D$6-AA50)^2+(AB50-$E$6)^2)</f>
        <v>66.97261479783039</v>
      </c>
      <c r="AB51" s="10"/>
      <c r="AC51" s="6">
        <f>SQRT(($D$6-AC50)^2+(AD50-$E$6)^2)</f>
        <v>51.777533812925114</v>
      </c>
      <c r="AD51" s="7"/>
      <c r="AE51" s="7">
        <f>SQRT(($D$6-AE50)^2+(AF50-$E$6)^2)</f>
        <v>68.62565601947976</v>
      </c>
      <c r="AF51" s="10"/>
      <c r="AG51" s="6">
        <f>SQRT(($D$6-AG50)^2+(AH50-$E$6)^2)</f>
        <v>50.321532453993456</v>
      </c>
      <c r="AH51" s="7"/>
      <c r="AI51" s="7">
        <f>SQRT(($D$6-AI50)^2+(AJ50-$E$6)^2)</f>
        <v>70.23002654504921</v>
      </c>
      <c r="AJ51" s="10"/>
      <c r="AK51" s="6">
        <f>SQRT(($D$6-AK50)^2+(AL50-$E$6)^2)</f>
        <v>48.977511900989995</v>
      </c>
      <c r="AL51" s="7"/>
      <c r="AM51" s="7">
        <f>SQRT(($D$6-AM50)^2+(AN50-$E$6)^2)</f>
        <v>71.77717998428636</v>
      </c>
      <c r="AN51" s="10"/>
      <c r="AO51" s="6">
        <f>SQRT(($D$6-AO50)^2+(AP50-$E$6)^2)</f>
        <v>47.765561329087774</v>
      </c>
      <c r="AP51" s="7"/>
      <c r="AQ51" s="7">
        <f>SQRT(($D$6-AQ50)^2+(AR50-$E$6)^2)</f>
        <v>73.25932961458379</v>
      </c>
      <c r="AR51" s="10"/>
    </row>
    <row r="52" spans="1:44" ht="12.75">
      <c r="A52" s="2"/>
      <c r="B52" s="6"/>
      <c r="C52" s="50"/>
      <c r="D52" s="50"/>
      <c r="E52" s="50"/>
      <c r="F52" s="50">
        <f>F45+D38</f>
        <v>165.30084632291965</v>
      </c>
      <c r="G52" s="51">
        <f>E38</f>
        <v>-30.981723246843504</v>
      </c>
      <c r="H52" s="2"/>
      <c r="I52" s="33" t="s">
        <v>169</v>
      </c>
      <c r="J52" s="7">
        <f>Gaine!$D$15*1/8</f>
        <v>5</v>
      </c>
      <c r="K52" s="10">
        <f>O78</f>
        <v>5.234500892705919</v>
      </c>
      <c r="L52" s="2"/>
      <c r="M52" s="6">
        <f>$D$7-M51</f>
        <v>1.7369116054615787</v>
      </c>
      <c r="N52" s="7"/>
      <c r="O52" s="7">
        <f>-$D$7+O51</f>
        <v>1.7447415775523396</v>
      </c>
      <c r="P52" s="10"/>
      <c r="Q52" s="6">
        <f>$D$7-Q51</f>
        <v>3.4514488692325145</v>
      </c>
      <c r="R52" s="7"/>
      <c r="S52" s="7">
        <f>-$D$7+S51</f>
        <v>3.4839367818628446</v>
      </c>
      <c r="T52" s="10"/>
      <c r="U52" s="6">
        <f>$D$7-U51</f>
        <v>5.127864711336635</v>
      </c>
      <c r="V52" s="7"/>
      <c r="W52" s="7">
        <f>-$D$7+W51</f>
        <v>5.205319089674518</v>
      </c>
      <c r="X52" s="10"/>
      <c r="Y52" s="6">
        <f>$D$7-Y51</f>
        <v>6.7492141366278275</v>
      </c>
      <c r="Z52" s="7"/>
      <c r="AA52" s="7">
        <f>-$D$7+AA51</f>
        <v>6.89766161432803</v>
      </c>
      <c r="AB52" s="10"/>
      <c r="AC52" s="6">
        <f>$D$7-AC51</f>
        <v>8.297419370577245</v>
      </c>
      <c r="AD52" s="7"/>
      <c r="AE52" s="7">
        <f>-$D$7+AE51</f>
        <v>8.550702835977404</v>
      </c>
      <c r="AF52" s="10"/>
      <c r="AG52" s="6">
        <f>$D$7-AG51</f>
        <v>9.753420729508903</v>
      </c>
      <c r="AH52" s="7"/>
      <c r="AI52" s="7">
        <f>-$D$7+AI51</f>
        <v>10.155073361546854</v>
      </c>
      <c r="AJ52" s="10"/>
      <c r="AK52" s="6">
        <f>$D$7-AK51</f>
        <v>11.097441282512364</v>
      </c>
      <c r="AL52" s="7"/>
      <c r="AM52" s="7">
        <f>-$D$7+AM51</f>
        <v>11.702226800784004</v>
      </c>
      <c r="AN52" s="10"/>
      <c r="AO52" s="6">
        <f>$D$7-AO51</f>
        <v>12.309391854414585</v>
      </c>
      <c r="AP52" s="7"/>
      <c r="AQ52" s="7">
        <f>-$D$7+AQ51</f>
        <v>13.184376431081432</v>
      </c>
      <c r="AR52" s="10"/>
    </row>
    <row r="53" spans="1:44" ht="12.75">
      <c r="A53" s="2"/>
      <c r="B53" s="6" t="s">
        <v>29</v>
      </c>
      <c r="C53" s="50">
        <f>D3</f>
        <v>0</v>
      </c>
      <c r="D53" s="50">
        <f>E3</f>
        <v>0</v>
      </c>
      <c r="E53" s="50"/>
      <c r="F53" s="50">
        <f>F45</f>
        <v>90</v>
      </c>
      <c r="G53" s="51">
        <f>G45</f>
        <v>12</v>
      </c>
      <c r="H53" s="2"/>
      <c r="I53" s="33" t="s">
        <v>170</v>
      </c>
      <c r="J53" s="7">
        <f>Gaine!$D$15*2/8</f>
        <v>10</v>
      </c>
      <c r="K53" s="10">
        <f>S78</f>
        <v>10.340488273558956</v>
      </c>
      <c r="L53" s="2"/>
      <c r="M53" s="6"/>
      <c r="N53" s="7"/>
      <c r="O53" s="7"/>
      <c r="P53" s="10"/>
      <c r="Q53" s="6"/>
      <c r="R53" s="7"/>
      <c r="S53" s="7"/>
      <c r="T53" s="10"/>
      <c r="U53" s="6"/>
      <c r="V53" s="7"/>
      <c r="W53" s="7"/>
      <c r="X53" s="10"/>
      <c r="Y53" s="6"/>
      <c r="Z53" s="7"/>
      <c r="AA53" s="7"/>
      <c r="AB53" s="10"/>
      <c r="AC53" s="6"/>
      <c r="AD53" s="7"/>
      <c r="AE53" s="7"/>
      <c r="AF53" s="10"/>
      <c r="AG53" s="6"/>
      <c r="AH53" s="7"/>
      <c r="AI53" s="7"/>
      <c r="AJ53" s="10"/>
      <c r="AK53" s="6"/>
      <c r="AL53" s="7"/>
      <c r="AM53" s="7"/>
      <c r="AN53" s="10"/>
      <c r="AO53" s="6"/>
      <c r="AP53" s="7"/>
      <c r="AQ53" s="7"/>
      <c r="AR53" s="10"/>
    </row>
    <row r="54" spans="1:44" ht="12.75">
      <c r="A54" s="2"/>
      <c r="B54" s="6"/>
      <c r="C54" s="50">
        <f>I11</f>
        <v>-12.855752193730787</v>
      </c>
      <c r="D54" s="50">
        <f>J11</f>
        <v>15.32088886237956</v>
      </c>
      <c r="E54" s="50"/>
      <c r="F54" s="50">
        <f>F45+I36</f>
        <v>130.93453184058345</v>
      </c>
      <c r="G54" s="51">
        <f>J36</f>
        <v>17.827430747323195</v>
      </c>
      <c r="H54" s="2"/>
      <c r="I54" s="33" t="s">
        <v>171</v>
      </c>
      <c r="J54" s="7">
        <f>Gaine!$D$15*3/8</f>
        <v>15</v>
      </c>
      <c r="K54" s="10">
        <f>W78</f>
        <v>15.32013045912794</v>
      </c>
      <c r="L54" s="2"/>
      <c r="M54" s="6" t="s">
        <v>5</v>
      </c>
      <c r="N54" s="7" t="s">
        <v>6</v>
      </c>
      <c r="O54" s="7"/>
      <c r="P54" s="10"/>
      <c r="Q54" s="6" t="s">
        <v>5</v>
      </c>
      <c r="R54" s="7" t="s">
        <v>6</v>
      </c>
      <c r="S54" s="7"/>
      <c r="T54" s="10"/>
      <c r="U54" s="6" t="s">
        <v>5</v>
      </c>
      <c r="V54" s="7" t="s">
        <v>6</v>
      </c>
      <c r="W54" s="7"/>
      <c r="X54" s="10"/>
      <c r="Y54" s="6" t="s">
        <v>5</v>
      </c>
      <c r="Z54" s="7" t="s">
        <v>6</v>
      </c>
      <c r="AA54" s="7"/>
      <c r="AB54" s="10"/>
      <c r="AC54" s="6" t="s">
        <v>5</v>
      </c>
      <c r="AD54" s="7" t="s">
        <v>6</v>
      </c>
      <c r="AE54" s="7"/>
      <c r="AF54" s="10"/>
      <c r="AG54" s="6" t="s">
        <v>5</v>
      </c>
      <c r="AH54" s="7" t="s">
        <v>6</v>
      </c>
      <c r="AI54" s="7"/>
      <c r="AJ54" s="10"/>
      <c r="AK54" s="6" t="s">
        <v>5</v>
      </c>
      <c r="AL54" s="7" t="s">
        <v>6</v>
      </c>
      <c r="AM54" s="7"/>
      <c r="AN54" s="10"/>
      <c r="AO54" s="6" t="s">
        <v>5</v>
      </c>
      <c r="AP54" s="7" t="s">
        <v>6</v>
      </c>
      <c r="AQ54" s="7"/>
      <c r="AR54" s="10"/>
    </row>
    <row r="55" spans="1:44" ht="12.75">
      <c r="A55" s="2"/>
      <c r="B55" s="6"/>
      <c r="C55" s="50">
        <f>D6</f>
        <v>60</v>
      </c>
      <c r="D55" s="50">
        <f>E6</f>
        <v>23</v>
      </c>
      <c r="E55" s="50"/>
      <c r="F55" s="50">
        <f>F47</f>
        <v>140</v>
      </c>
      <c r="G55" s="51">
        <f>G47</f>
        <v>0</v>
      </c>
      <c r="H55" s="2"/>
      <c r="I55" s="33" t="s">
        <v>172</v>
      </c>
      <c r="J55" s="7">
        <f>Gaine!$D$15*4/8</f>
        <v>20</v>
      </c>
      <c r="K55" s="10">
        <f>AA78</f>
        <v>20.177008729502234</v>
      </c>
      <c r="L55" s="2"/>
      <c r="M55" s="6">
        <v>0</v>
      </c>
      <c r="N55" s="7">
        <v>0</v>
      </c>
      <c r="O55" s="7"/>
      <c r="P55" s="10"/>
      <c r="Q55" s="6">
        <v>0</v>
      </c>
      <c r="R55" s="7">
        <v>0</v>
      </c>
      <c r="S55" s="7"/>
      <c r="T55" s="10"/>
      <c r="U55" s="6">
        <v>0</v>
      </c>
      <c r="V55" s="7">
        <v>0</v>
      </c>
      <c r="W55" s="7"/>
      <c r="X55" s="10"/>
      <c r="Y55" s="6">
        <v>0</v>
      </c>
      <c r="Z55" s="7">
        <v>0</v>
      </c>
      <c r="AA55" s="7"/>
      <c r="AB55" s="10"/>
      <c r="AC55" s="6">
        <v>0</v>
      </c>
      <c r="AD55" s="7">
        <v>0</v>
      </c>
      <c r="AE55" s="7"/>
      <c r="AF55" s="10"/>
      <c r="AG55" s="6">
        <v>0</v>
      </c>
      <c r="AH55" s="7">
        <v>0</v>
      </c>
      <c r="AI55" s="7"/>
      <c r="AJ55" s="10"/>
      <c r="AK55" s="6">
        <v>0</v>
      </c>
      <c r="AL55" s="7">
        <v>0</v>
      </c>
      <c r="AM55" s="7"/>
      <c r="AN55" s="10"/>
      <c r="AO55" s="6">
        <v>0</v>
      </c>
      <c r="AP55" s="7">
        <v>0</v>
      </c>
      <c r="AQ55" s="7"/>
      <c r="AR55" s="10"/>
    </row>
    <row r="56" spans="1:44" ht="12.75">
      <c r="A56" s="2"/>
      <c r="B56" s="6"/>
      <c r="C56" s="50"/>
      <c r="D56" s="50"/>
      <c r="E56" s="50"/>
      <c r="F56" s="50">
        <f>F45+I38</f>
        <v>173.3589557859665</v>
      </c>
      <c r="G56" s="51">
        <f>J38</f>
        <v>22.072155963338357</v>
      </c>
      <c r="H56" s="2"/>
      <c r="I56" s="33" t="s">
        <v>173</v>
      </c>
      <c r="J56" s="7">
        <f>Gaine!$D$15*5/8</f>
        <v>25</v>
      </c>
      <c r="K56" s="10">
        <f>AE78</f>
        <v>24.91593008193924</v>
      </c>
      <c r="L56" s="2"/>
      <c r="M56" s="6">
        <f>M55</f>
        <v>0</v>
      </c>
      <c r="N56" s="7">
        <f>Gaine!$D$10</f>
        <v>12</v>
      </c>
      <c r="O56" s="7"/>
      <c r="P56" s="10"/>
      <c r="Q56" s="6">
        <f>Q55</f>
        <v>0</v>
      </c>
      <c r="R56" s="7">
        <f>Gaine!$D$10</f>
        <v>12</v>
      </c>
      <c r="S56" s="7"/>
      <c r="T56" s="10"/>
      <c r="U56" s="6">
        <f>U55</f>
        <v>0</v>
      </c>
      <c r="V56" s="7">
        <f>Gaine!$D$10</f>
        <v>12</v>
      </c>
      <c r="W56" s="7"/>
      <c r="X56" s="10"/>
      <c r="Y56" s="6">
        <f>Y55</f>
        <v>0</v>
      </c>
      <c r="Z56" s="7">
        <f>Gaine!$D$10</f>
        <v>12</v>
      </c>
      <c r="AA56" s="7"/>
      <c r="AB56" s="10"/>
      <c r="AC56" s="6">
        <f>AC55</f>
        <v>0</v>
      </c>
      <c r="AD56" s="7">
        <f>Gaine!$D$10</f>
        <v>12</v>
      </c>
      <c r="AE56" s="7"/>
      <c r="AF56" s="10"/>
      <c r="AG56" s="6">
        <f>AG55</f>
        <v>0</v>
      </c>
      <c r="AH56" s="7">
        <f>Gaine!$D$10</f>
        <v>12</v>
      </c>
      <c r="AI56" s="7"/>
      <c r="AJ56" s="10"/>
      <c r="AK56" s="6">
        <f>AK55</f>
        <v>0</v>
      </c>
      <c r="AL56" s="7">
        <f>Gaine!$D$10</f>
        <v>12</v>
      </c>
      <c r="AM56" s="7"/>
      <c r="AN56" s="10"/>
      <c r="AO56" s="6">
        <f>AO55</f>
        <v>0</v>
      </c>
      <c r="AP56" s="7">
        <f>Gaine!$D$10</f>
        <v>12</v>
      </c>
      <c r="AQ56" s="7"/>
      <c r="AR56" s="10"/>
    </row>
    <row r="57" spans="1:44" ht="12.75">
      <c r="A57" s="2"/>
      <c r="B57" s="6" t="s">
        <v>60</v>
      </c>
      <c r="C57" s="50">
        <f>C47</f>
        <v>60</v>
      </c>
      <c r="D57" s="50">
        <f>D47</f>
        <v>23</v>
      </c>
      <c r="E57" s="50"/>
      <c r="F57" s="50"/>
      <c r="G57" s="51"/>
      <c r="H57" s="2"/>
      <c r="I57" s="33" t="s">
        <v>174</v>
      </c>
      <c r="J57" s="7">
        <f>Gaine!$D$15*6/8</f>
        <v>30</v>
      </c>
      <c r="K57" s="10">
        <f>AI78</f>
        <v>29.542861828370636</v>
      </c>
      <c r="L57" s="2"/>
      <c r="M57" s="6">
        <f>Gaine!$D$9</f>
        <v>50</v>
      </c>
      <c r="N57" s="7">
        <f>N55</f>
        <v>0</v>
      </c>
      <c r="O57" s="7"/>
      <c r="P57" s="10"/>
      <c r="Q57" s="6">
        <f>Gaine!$D$9</f>
        <v>50</v>
      </c>
      <c r="R57" s="7">
        <f>R55</f>
        <v>0</v>
      </c>
      <c r="S57" s="7"/>
      <c r="T57" s="10"/>
      <c r="U57" s="6">
        <f>Gaine!$D$9</f>
        <v>50</v>
      </c>
      <c r="V57" s="7">
        <f>V55</f>
        <v>0</v>
      </c>
      <c r="W57" s="7"/>
      <c r="X57" s="10"/>
      <c r="Y57" s="6">
        <f>Gaine!$D$9</f>
        <v>50</v>
      </c>
      <c r="Z57" s="7">
        <f>Z55</f>
        <v>0</v>
      </c>
      <c r="AA57" s="7"/>
      <c r="AB57" s="10"/>
      <c r="AC57" s="6">
        <f>Gaine!$D$9</f>
        <v>50</v>
      </c>
      <c r="AD57" s="7">
        <f>AD55</f>
        <v>0</v>
      </c>
      <c r="AE57" s="7"/>
      <c r="AF57" s="10"/>
      <c r="AG57" s="6">
        <f>Gaine!$D$9</f>
        <v>50</v>
      </c>
      <c r="AH57" s="7">
        <f>AH55</f>
        <v>0</v>
      </c>
      <c r="AI57" s="7"/>
      <c r="AJ57" s="10"/>
      <c r="AK57" s="6">
        <f>Gaine!$D$9</f>
        <v>50</v>
      </c>
      <c r="AL57" s="7">
        <f>AL55</f>
        <v>0</v>
      </c>
      <c r="AM57" s="7"/>
      <c r="AN57" s="10"/>
      <c r="AO57" s="6">
        <f>Gaine!$D$9</f>
        <v>50</v>
      </c>
      <c r="AP57" s="7">
        <f>AP55</f>
        <v>0</v>
      </c>
      <c r="AQ57" s="7"/>
      <c r="AR57" s="10"/>
    </row>
    <row r="58" spans="1:44" ht="13.5" thickBot="1">
      <c r="A58" s="2"/>
      <c r="B58" s="8"/>
      <c r="C58" s="52">
        <f>F45</f>
        <v>90</v>
      </c>
      <c r="D58" s="52">
        <f>G45</f>
        <v>12</v>
      </c>
      <c r="E58" s="52"/>
      <c r="F58" s="52"/>
      <c r="G58" s="53"/>
      <c r="H58" s="2"/>
      <c r="I58" s="33" t="s">
        <v>175</v>
      </c>
      <c r="J58" s="7">
        <f>Gaine!$D$15*7/8</f>
        <v>35</v>
      </c>
      <c r="K58" s="10">
        <f>AM78</f>
        <v>34.0649816881206</v>
      </c>
      <c r="L58" s="2"/>
      <c r="M58" s="6">
        <f>M57+Gaine!$D$12</f>
        <v>54</v>
      </c>
      <c r="N58" s="7">
        <f>SQRT(Gaine!$D$11^2-Gaine!$D$12^2)</f>
        <v>19.595917942265423</v>
      </c>
      <c r="O58" s="7"/>
      <c r="P58" s="10"/>
      <c r="Q58" s="6">
        <f>Q57+Gaine!$D$12</f>
        <v>54</v>
      </c>
      <c r="R58" s="7">
        <f>SQRT(Gaine!$D$11^2-Gaine!$D$12^2)</f>
        <v>19.595917942265423</v>
      </c>
      <c r="S58" s="7"/>
      <c r="T58" s="10"/>
      <c r="U58" s="6">
        <f>U57+Gaine!$D$12</f>
        <v>54</v>
      </c>
      <c r="V58" s="7">
        <f>SQRT(Gaine!$D$11^2-Gaine!$D$12^2)</f>
        <v>19.595917942265423</v>
      </c>
      <c r="W58" s="7"/>
      <c r="X58" s="10"/>
      <c r="Y58" s="6">
        <f>Y57+Gaine!$D$12</f>
        <v>54</v>
      </c>
      <c r="Z58" s="7">
        <f>SQRT(Gaine!$D$11^2-Gaine!$D$12^2)</f>
        <v>19.595917942265423</v>
      </c>
      <c r="AA58" s="7"/>
      <c r="AB58" s="10"/>
      <c r="AC58" s="6">
        <f>AC57+Gaine!$D$12</f>
        <v>54</v>
      </c>
      <c r="AD58" s="7">
        <f>SQRT(Gaine!$D$11^2-Gaine!$D$12^2)</f>
        <v>19.595917942265423</v>
      </c>
      <c r="AE58" s="7"/>
      <c r="AF58" s="10"/>
      <c r="AG58" s="6">
        <f>AG57+Gaine!$D$12</f>
        <v>54</v>
      </c>
      <c r="AH58" s="7">
        <f>SQRT(Gaine!$D$11^2-Gaine!$D$12^2)</f>
        <v>19.595917942265423</v>
      </c>
      <c r="AI58" s="7"/>
      <c r="AJ58" s="10"/>
      <c r="AK58" s="6">
        <f>AK57+Gaine!$D$12</f>
        <v>54</v>
      </c>
      <c r="AL58" s="7">
        <f>SQRT(Gaine!$D$11^2-Gaine!$D$12^2)</f>
        <v>19.595917942265423</v>
      </c>
      <c r="AM58" s="7"/>
      <c r="AN58" s="10"/>
      <c r="AO58" s="6">
        <f>AO57+Gaine!$D$12</f>
        <v>54</v>
      </c>
      <c r="AP58" s="7">
        <f>SQRT(Gaine!$D$11^2-Gaine!$D$12^2)</f>
        <v>19.595917942265423</v>
      </c>
      <c r="AQ58" s="7"/>
      <c r="AR58" s="10"/>
    </row>
    <row r="59" spans="1:44" ht="13.5" thickBot="1">
      <c r="A59" s="2"/>
      <c r="B59" s="2"/>
      <c r="C59" s="49"/>
      <c r="D59" s="49"/>
      <c r="E59" s="49"/>
      <c r="F59" s="49"/>
      <c r="G59" s="49"/>
      <c r="H59" s="2"/>
      <c r="I59" s="34" t="s">
        <v>176</v>
      </c>
      <c r="J59" s="9">
        <f>Gaine!$D$15</f>
        <v>40</v>
      </c>
      <c r="K59" s="11">
        <f>AQ78</f>
        <v>38.49085621036657</v>
      </c>
      <c r="L59" s="2"/>
      <c r="M59" s="6">
        <f>M57+Gaine!$D$13*COS(RADIANS(Gaine!$D$14))</f>
        <v>89.84778792366981</v>
      </c>
      <c r="N59" s="7">
        <f>N57+Gaine!$D$13*SIN(RADIANS(Gaine!$D$14))</f>
        <v>-3.4862297099063264</v>
      </c>
      <c r="O59" s="7"/>
      <c r="P59" s="10"/>
      <c r="Q59" s="6">
        <f>Q57+Gaine!$D$13*COS(RADIANS(Gaine!$D$14))</f>
        <v>89.84778792366981</v>
      </c>
      <c r="R59" s="7">
        <f>R57+Gaine!$D$13*SIN(RADIANS(Gaine!$D$14))</f>
        <v>-3.4862297099063264</v>
      </c>
      <c r="S59" s="7"/>
      <c r="T59" s="10"/>
      <c r="U59" s="6">
        <f>U57+Gaine!$D$13*COS(RADIANS(Gaine!$D$14))</f>
        <v>89.84778792366981</v>
      </c>
      <c r="V59" s="7">
        <f>V57+Gaine!$D$13*SIN(RADIANS(Gaine!$D$14))</f>
        <v>-3.4862297099063264</v>
      </c>
      <c r="W59" s="7"/>
      <c r="X59" s="10"/>
      <c r="Y59" s="6">
        <f>Y57+Gaine!$D$13*COS(RADIANS(Gaine!$D$14))</f>
        <v>89.84778792366981</v>
      </c>
      <c r="Z59" s="7">
        <f>Z57+Gaine!$D$13*SIN(RADIANS(Gaine!$D$14))</f>
        <v>-3.4862297099063264</v>
      </c>
      <c r="AA59" s="7"/>
      <c r="AB59" s="10"/>
      <c r="AC59" s="6">
        <f>AC57+Gaine!$D$13*COS(RADIANS(Gaine!$D$14))</f>
        <v>89.84778792366981</v>
      </c>
      <c r="AD59" s="7">
        <f>AD57+Gaine!$D$13*SIN(RADIANS(Gaine!$D$14))</f>
        <v>-3.4862297099063264</v>
      </c>
      <c r="AE59" s="7"/>
      <c r="AF59" s="10"/>
      <c r="AG59" s="6">
        <f>AG57+Gaine!$D$13*COS(RADIANS(Gaine!$D$14))</f>
        <v>89.84778792366981</v>
      </c>
      <c r="AH59" s="7">
        <f>AH57+Gaine!$D$13*SIN(RADIANS(Gaine!$D$14))</f>
        <v>-3.4862297099063264</v>
      </c>
      <c r="AI59" s="7"/>
      <c r="AJ59" s="10"/>
      <c r="AK59" s="6">
        <f>AK57+Gaine!$D$13*COS(RADIANS(Gaine!$D$14))</f>
        <v>89.84778792366981</v>
      </c>
      <c r="AL59" s="7">
        <f>AL57+Gaine!$D$13*SIN(RADIANS(Gaine!$D$14))</f>
        <v>-3.4862297099063264</v>
      </c>
      <c r="AM59" s="7"/>
      <c r="AN59" s="10"/>
      <c r="AO59" s="6">
        <f>AO57+Gaine!$D$13*COS(RADIANS(Gaine!$D$14))</f>
        <v>89.84778792366981</v>
      </c>
      <c r="AP59" s="7">
        <f>AP57+Gaine!$D$13*SIN(RADIANS(Gaine!$D$14))</f>
        <v>-3.4862297099063264</v>
      </c>
      <c r="AQ59" s="7"/>
      <c r="AR59" s="10"/>
    </row>
    <row r="60" spans="1:44" ht="12.75">
      <c r="A60" s="2"/>
      <c r="B60" s="2"/>
      <c r="C60" s="49"/>
      <c r="D60" s="49"/>
      <c r="E60" s="49"/>
      <c r="F60" s="54">
        <f>MIN(C45:C58)</f>
        <v>-12.855752193730787</v>
      </c>
      <c r="G60" s="54">
        <f>MIN(G45:G58)</f>
        <v>-30.981723246843504</v>
      </c>
      <c r="H60" s="2"/>
      <c r="I60" s="3" t="s">
        <v>179</v>
      </c>
      <c r="J60" s="5"/>
      <c r="K60" s="2"/>
      <c r="L60" s="2"/>
      <c r="M60" s="6">
        <f>ACOS(Gaine!$D$8/Gaine!$D$7)</f>
        <v>1.5707963267948966</v>
      </c>
      <c r="N60" s="7"/>
      <c r="O60" s="7"/>
      <c r="P60" s="10"/>
      <c r="Q60" s="6">
        <f>ACOS(Gaine!$D$8/Gaine!$D$7)</f>
        <v>1.5707963267948966</v>
      </c>
      <c r="R60" s="7"/>
      <c r="S60" s="7"/>
      <c r="T60" s="10"/>
      <c r="U60" s="6">
        <f>ACOS(Gaine!$D$8/Gaine!$D$7)</f>
        <v>1.5707963267948966</v>
      </c>
      <c r="V60" s="7"/>
      <c r="W60" s="7"/>
      <c r="X60" s="10"/>
      <c r="Y60" s="6">
        <f>ACOS(Gaine!$D$8/Gaine!$D$7)</f>
        <v>1.5707963267948966</v>
      </c>
      <c r="Z60" s="7"/>
      <c r="AA60" s="7"/>
      <c r="AB60" s="10"/>
      <c r="AC60" s="6">
        <f>ACOS(Gaine!$D$8/Gaine!$D$7)</f>
        <v>1.5707963267948966</v>
      </c>
      <c r="AD60" s="7"/>
      <c r="AE60" s="7"/>
      <c r="AF60" s="10"/>
      <c r="AG60" s="6">
        <f>ACOS(Gaine!$D$8/Gaine!$D$7)</f>
        <v>1.5707963267948966</v>
      </c>
      <c r="AH60" s="7"/>
      <c r="AI60" s="7"/>
      <c r="AJ60" s="10"/>
      <c r="AK60" s="6">
        <f>ACOS(Gaine!$D$8/Gaine!$D$7)</f>
        <v>1.5707963267948966</v>
      </c>
      <c r="AL60" s="7"/>
      <c r="AM60" s="7"/>
      <c r="AN60" s="10"/>
      <c r="AO60" s="6">
        <f>ACOS(Gaine!$D$8/Gaine!$D$7)</f>
        <v>1.5707963267948966</v>
      </c>
      <c r="AP60" s="7"/>
      <c r="AQ60" s="7"/>
      <c r="AR60" s="10"/>
    </row>
    <row r="61" spans="1:44" ht="12.75">
      <c r="A61" s="2"/>
      <c r="B61" s="2"/>
      <c r="C61" s="2"/>
      <c r="D61" s="2"/>
      <c r="E61" s="2"/>
      <c r="F61" s="54">
        <f>MAX(F45:F58)</f>
        <v>179.8477879236698</v>
      </c>
      <c r="G61" s="54">
        <f>MAX(G45:G58)</f>
        <v>22.072155963338357</v>
      </c>
      <c r="H61" s="2"/>
      <c r="I61" s="6">
        <f>J43*J65</f>
        <v>0</v>
      </c>
      <c r="J61" s="10">
        <f>K43*J65</f>
        <v>0</v>
      </c>
      <c r="K61" s="2"/>
      <c r="L61" s="2"/>
      <c r="M61" s="6">
        <f>PI()/2-ASIN(Gaine!$D$12/Gaine!$D$11)-RADIANS(Gaine!$D$14)</f>
        <v>1.456704868604282</v>
      </c>
      <c r="N61" s="7"/>
      <c r="O61" s="7"/>
      <c r="P61" s="10"/>
      <c r="Q61" s="6">
        <f>PI()/2-ASIN(Gaine!$D$12/Gaine!$D$11)-RADIANS(Gaine!$D$14)</f>
        <v>1.456704868604282</v>
      </c>
      <c r="R61" s="7"/>
      <c r="S61" s="7"/>
      <c r="T61" s="10"/>
      <c r="U61" s="6">
        <f>PI()/2-ASIN(Gaine!$D$12/Gaine!$D$11)-RADIANS(Gaine!$D$14)</f>
        <v>1.456704868604282</v>
      </c>
      <c r="V61" s="7"/>
      <c r="W61" s="7"/>
      <c r="X61" s="10"/>
      <c r="Y61" s="6">
        <f>PI()/2-ASIN(Gaine!$D$12/Gaine!$D$11)-RADIANS(Gaine!$D$14)</f>
        <v>1.456704868604282</v>
      </c>
      <c r="Z61" s="7"/>
      <c r="AA61" s="7"/>
      <c r="AB61" s="10"/>
      <c r="AC61" s="6">
        <f>PI()/2-ASIN(Gaine!$D$12/Gaine!$D$11)-RADIANS(Gaine!$D$14)</f>
        <v>1.456704868604282</v>
      </c>
      <c r="AD61" s="7"/>
      <c r="AE61" s="7"/>
      <c r="AF61" s="10"/>
      <c r="AG61" s="6">
        <f>PI()/2-ASIN(Gaine!$D$12/Gaine!$D$11)-RADIANS(Gaine!$D$14)</f>
        <v>1.456704868604282</v>
      </c>
      <c r="AH61" s="7"/>
      <c r="AI61" s="7"/>
      <c r="AJ61" s="10"/>
      <c r="AK61" s="6">
        <f>PI()/2-ASIN(Gaine!$D$12/Gaine!$D$11)-RADIANS(Gaine!$D$14)</f>
        <v>1.456704868604282</v>
      </c>
      <c r="AL61" s="7"/>
      <c r="AM61" s="7"/>
      <c r="AN61" s="10"/>
      <c r="AO61" s="6">
        <f>PI()/2-ASIN(Gaine!$D$12/Gaine!$D$11)-RADIANS(Gaine!$D$14)</f>
        <v>1.456704868604282</v>
      </c>
      <c r="AP61" s="7"/>
      <c r="AQ61" s="7"/>
      <c r="AR61" s="10"/>
    </row>
    <row r="62" spans="5:44" ht="12.75">
      <c r="E62" s="60"/>
      <c r="F62" s="56">
        <f>MAX(-G60,G61)*2.5*2</f>
        <v>154.90861623421753</v>
      </c>
      <c r="G62" s="57">
        <f>F61/2.5/2</f>
        <v>35.96955758473396</v>
      </c>
      <c r="I62" s="6">
        <f>J51</f>
        <v>0</v>
      </c>
      <c r="J62" s="10">
        <f>K51</f>
        <v>0</v>
      </c>
      <c r="M62" s="6">
        <f>SQRT((M56-M58)^2+(N56-N58)^2)</f>
        <v>54.53162357188377</v>
      </c>
      <c r="N62" s="7"/>
      <c r="O62" s="7"/>
      <c r="P62" s="10"/>
      <c r="Q62" s="6">
        <f>SQRT((Q56-Q58)^2+(R56-R58)^2)</f>
        <v>54.53162357188377</v>
      </c>
      <c r="R62" s="7"/>
      <c r="S62" s="7"/>
      <c r="T62" s="10"/>
      <c r="U62" s="6">
        <f>SQRT((U56-U58)^2+(V56-V58)^2)</f>
        <v>54.53162357188377</v>
      </c>
      <c r="V62" s="7"/>
      <c r="W62" s="7"/>
      <c r="X62" s="10"/>
      <c r="Y62" s="6">
        <f>SQRT((Y56-Y58)^2+(Z56-Z58)^2)</f>
        <v>54.53162357188377</v>
      </c>
      <c r="Z62" s="7"/>
      <c r="AA62" s="7"/>
      <c r="AB62" s="10"/>
      <c r="AC62" s="6">
        <f>SQRT((AC56-AC58)^2+(AD56-AD58)^2)</f>
        <v>54.53162357188377</v>
      </c>
      <c r="AD62" s="7"/>
      <c r="AE62" s="7"/>
      <c r="AF62" s="10"/>
      <c r="AG62" s="6">
        <f>SQRT((AG56-AG58)^2+(AH56-AH58)^2)</f>
        <v>54.53162357188377</v>
      </c>
      <c r="AH62" s="7"/>
      <c r="AI62" s="7"/>
      <c r="AJ62" s="10"/>
      <c r="AK62" s="6">
        <f>SQRT((AK56-AK58)^2+(AL56-AL58)^2)</f>
        <v>54.53162357188377</v>
      </c>
      <c r="AL62" s="7"/>
      <c r="AM62" s="7"/>
      <c r="AN62" s="10"/>
      <c r="AO62" s="6">
        <f>SQRT((AO56-AO58)^2+(AP56-AP58)^2)</f>
        <v>54.53162357188377</v>
      </c>
      <c r="AP62" s="7"/>
      <c r="AQ62" s="7"/>
      <c r="AR62" s="10"/>
    </row>
    <row r="63" spans="5:44" ht="13.5" thickBot="1">
      <c r="E63" s="60"/>
      <c r="F63" s="58">
        <v>0</v>
      </c>
      <c r="G63" s="55">
        <f>-G62</f>
        <v>-35.96955758473396</v>
      </c>
      <c r="I63" s="8">
        <f>J59*J65</f>
        <v>0</v>
      </c>
      <c r="J63" s="11">
        <f>K59*J65</f>
        <v>0</v>
      </c>
      <c r="M63" s="6">
        <f>RADIANS(Gaine!$D$15)</f>
        <v>0.6981317007977318</v>
      </c>
      <c r="N63" s="7"/>
      <c r="O63" s="7"/>
      <c r="P63" s="10"/>
      <c r="Q63" s="6">
        <f>RADIANS(Gaine!$D$15)</f>
        <v>0.6981317007977318</v>
      </c>
      <c r="R63" s="7"/>
      <c r="S63" s="7"/>
      <c r="T63" s="10"/>
      <c r="U63" s="6">
        <f>RADIANS(Gaine!$D$15)</f>
        <v>0.6981317007977318</v>
      </c>
      <c r="V63" s="7"/>
      <c r="W63" s="7"/>
      <c r="X63" s="10"/>
      <c r="Y63" s="6">
        <f>RADIANS(Gaine!$D$15)</f>
        <v>0.6981317007977318</v>
      </c>
      <c r="Z63" s="7"/>
      <c r="AA63" s="7"/>
      <c r="AB63" s="10"/>
      <c r="AC63" s="6">
        <f>RADIANS(Gaine!$D$15)</f>
        <v>0.6981317007977318</v>
      </c>
      <c r="AD63" s="7"/>
      <c r="AE63" s="7"/>
      <c r="AF63" s="10"/>
      <c r="AG63" s="6">
        <f>RADIANS(Gaine!$D$15)</f>
        <v>0.6981317007977318</v>
      </c>
      <c r="AH63" s="7"/>
      <c r="AI63" s="7"/>
      <c r="AJ63" s="10"/>
      <c r="AK63" s="6">
        <f>RADIANS(Gaine!$D$15)</f>
        <v>0.6981317007977318</v>
      </c>
      <c r="AL63" s="7"/>
      <c r="AM63" s="7"/>
      <c r="AN63" s="10"/>
      <c r="AO63" s="6">
        <f>RADIANS(Gaine!$D$15)</f>
        <v>0.6981317007977318</v>
      </c>
      <c r="AP63" s="7"/>
      <c r="AQ63" s="7"/>
      <c r="AR63" s="10"/>
    </row>
    <row r="64" spans="5:44" ht="12.75">
      <c r="E64" s="60"/>
      <c r="G64" s="59"/>
      <c r="M64" s="6"/>
      <c r="N64" s="7"/>
      <c r="O64" s="7"/>
      <c r="P64" s="10"/>
      <c r="Q64" s="6"/>
      <c r="R64" s="7"/>
      <c r="S64" s="7"/>
      <c r="T64" s="10"/>
      <c r="U64" s="6"/>
      <c r="V64" s="7"/>
      <c r="W64" s="7"/>
      <c r="X64" s="10"/>
      <c r="Y64" s="6"/>
      <c r="Z64" s="7"/>
      <c r="AA64" s="7"/>
      <c r="AB64" s="10"/>
      <c r="AC64" s="6"/>
      <c r="AD64" s="7"/>
      <c r="AE64" s="7"/>
      <c r="AF64" s="10"/>
      <c r="AG64" s="6"/>
      <c r="AH64" s="7"/>
      <c r="AI64" s="7"/>
      <c r="AJ64" s="10"/>
      <c r="AK64" s="6"/>
      <c r="AL64" s="7"/>
      <c r="AM64" s="7"/>
      <c r="AN64" s="10"/>
      <c r="AO64" s="6"/>
      <c r="AP64" s="7"/>
      <c r="AQ64" s="7"/>
      <c r="AR64" s="10"/>
    </row>
    <row r="65" spans="5:44" ht="12.75">
      <c r="E65" s="60"/>
      <c r="G65" s="59"/>
      <c r="J65" s="2">
        <f>IF(J66=TRUE,1,0)</f>
        <v>0</v>
      </c>
      <c r="M65" s="6"/>
      <c r="N65" s="7"/>
      <c r="O65" s="7"/>
      <c r="P65" s="10"/>
      <c r="Q65" s="6"/>
      <c r="R65" s="7"/>
      <c r="S65" s="7"/>
      <c r="T65" s="10"/>
      <c r="U65" s="6"/>
      <c r="V65" s="7"/>
      <c r="W65" s="7"/>
      <c r="X65" s="10"/>
      <c r="Y65" s="6"/>
      <c r="Z65" s="7"/>
      <c r="AA65" s="7"/>
      <c r="AB65" s="10"/>
      <c r="AC65" s="6"/>
      <c r="AD65" s="7"/>
      <c r="AE65" s="7"/>
      <c r="AF65" s="10"/>
      <c r="AG65" s="6"/>
      <c r="AH65" s="7"/>
      <c r="AI65" s="7"/>
      <c r="AJ65" s="10"/>
      <c r="AK65" s="6"/>
      <c r="AL65" s="7"/>
      <c r="AM65" s="7"/>
      <c r="AN65" s="10"/>
      <c r="AO65" s="6"/>
      <c r="AP65" s="7"/>
      <c r="AQ65" s="7"/>
      <c r="AR65" s="10"/>
    </row>
    <row r="66" spans="10:44" ht="12.75">
      <c r="J66" t="b">
        <v>0</v>
      </c>
      <c r="M66" s="6">
        <f>M62+M52</f>
        <v>56.26853517734535</v>
      </c>
      <c r="N66" s="7"/>
      <c r="O66" s="7">
        <f>M62-O52</f>
        <v>52.78688199433143</v>
      </c>
      <c r="P66" s="10"/>
      <c r="Q66" s="6">
        <f>Q62+Q52</f>
        <v>57.983072441116285</v>
      </c>
      <c r="R66" s="7"/>
      <c r="S66" s="7">
        <f>Q62-S52</f>
        <v>51.047686790020926</v>
      </c>
      <c r="T66" s="10"/>
      <c r="U66" s="6">
        <f>U62+U52</f>
        <v>59.659488283220405</v>
      </c>
      <c r="V66" s="7"/>
      <c r="W66" s="7">
        <f>U62-W52</f>
        <v>49.32630448220925</v>
      </c>
      <c r="X66" s="10"/>
      <c r="Y66" s="6">
        <f>Y62+Y52</f>
        <v>61.2808377085116</v>
      </c>
      <c r="Z66" s="7"/>
      <c r="AA66" s="7">
        <f>Y62-AA52</f>
        <v>47.63396195755574</v>
      </c>
      <c r="AB66" s="10"/>
      <c r="AC66" s="6">
        <f>AC62+AC52</f>
        <v>62.829042942461015</v>
      </c>
      <c r="AD66" s="7"/>
      <c r="AE66" s="7">
        <f>AC62-AE52</f>
        <v>45.980920735906366</v>
      </c>
      <c r="AF66" s="10"/>
      <c r="AG66" s="6">
        <f>AG62+AG52</f>
        <v>64.28504430139267</v>
      </c>
      <c r="AH66" s="7"/>
      <c r="AI66" s="7">
        <f>AG62-AI52</f>
        <v>44.376550210336916</v>
      </c>
      <c r="AJ66" s="10"/>
      <c r="AK66" s="6">
        <f>AK62+AK52</f>
        <v>65.62906485439613</v>
      </c>
      <c r="AL66" s="7"/>
      <c r="AM66" s="7">
        <f>AK62-AM52</f>
        <v>42.829396771099766</v>
      </c>
      <c r="AN66" s="10"/>
      <c r="AO66" s="6">
        <f>AO62+AO52</f>
        <v>66.84101542629836</v>
      </c>
      <c r="AP66" s="7"/>
      <c r="AQ66" s="7">
        <f>AO62-AQ52</f>
        <v>41.34724714080234</v>
      </c>
      <c r="AR66" s="10"/>
    </row>
    <row r="67" spans="13:44" ht="12.75">
      <c r="M67" s="6">
        <f>M60-M63</f>
        <v>0.8726646259971648</v>
      </c>
      <c r="N67" s="7"/>
      <c r="O67" s="7" t="e">
        <f>I60+I63</f>
        <v>#VALUE!</v>
      </c>
      <c r="P67" s="10"/>
      <c r="Q67" s="6">
        <f>Q60-Q63</f>
        <v>0.8726646259971648</v>
      </c>
      <c r="R67" s="7"/>
      <c r="S67" s="7">
        <f>N60+N63</f>
        <v>0</v>
      </c>
      <c r="T67" s="10"/>
      <c r="U67" s="6">
        <f>U60-U63</f>
        <v>0.8726646259971648</v>
      </c>
      <c r="V67" s="7"/>
      <c r="W67" s="7">
        <f>R60+R63</f>
        <v>0</v>
      </c>
      <c r="X67" s="10"/>
      <c r="Y67" s="6">
        <f>Y60-Y63</f>
        <v>0.8726646259971648</v>
      </c>
      <c r="Z67" s="7"/>
      <c r="AA67" s="7">
        <f>V60+V63</f>
        <v>0</v>
      </c>
      <c r="AB67" s="10"/>
      <c r="AC67" s="6">
        <f>AC60-AC63</f>
        <v>0.8726646259971648</v>
      </c>
      <c r="AD67" s="7"/>
      <c r="AE67" s="7">
        <f>Z60+Z63</f>
        <v>0</v>
      </c>
      <c r="AF67" s="10"/>
      <c r="AG67" s="6">
        <f>AG60-AG63</f>
        <v>0.8726646259971648</v>
      </c>
      <c r="AH67" s="7"/>
      <c r="AI67" s="7">
        <f>AD60+AD63</f>
        <v>0</v>
      </c>
      <c r="AJ67" s="10"/>
      <c r="AK67" s="6">
        <f>AK60-AK63</f>
        <v>0.8726646259971648</v>
      </c>
      <c r="AL67" s="7"/>
      <c r="AM67" s="7">
        <f>AH60+AH63</f>
        <v>0</v>
      </c>
      <c r="AN67" s="10"/>
      <c r="AO67" s="6">
        <f>AO60-AO63</f>
        <v>0.8726646259971648</v>
      </c>
      <c r="AP67" s="7"/>
      <c r="AQ67" s="7">
        <f>AL60+AL63</f>
        <v>0</v>
      </c>
      <c r="AR67" s="10"/>
    </row>
    <row r="68" spans="13:44" ht="12.75">
      <c r="M68" s="6" t="s">
        <v>5</v>
      </c>
      <c r="N68" s="7" t="s">
        <v>6</v>
      </c>
      <c r="O68" s="7" t="s">
        <v>5</v>
      </c>
      <c r="P68" s="10" t="s">
        <v>6</v>
      </c>
      <c r="Q68" s="6" t="s">
        <v>5</v>
      </c>
      <c r="R68" s="7" t="s">
        <v>6</v>
      </c>
      <c r="S68" s="7" t="s">
        <v>5</v>
      </c>
      <c r="T68" s="10" t="s">
        <v>6</v>
      </c>
      <c r="U68" s="6" t="s">
        <v>5</v>
      </c>
      <c r="V68" s="7" t="s">
        <v>6</v>
      </c>
      <c r="W68" s="7" t="s">
        <v>5</v>
      </c>
      <c r="X68" s="10" t="s">
        <v>6</v>
      </c>
      <c r="Y68" s="6" t="s">
        <v>5</v>
      </c>
      <c r="Z68" s="7" t="s">
        <v>6</v>
      </c>
      <c r="AA68" s="7" t="s">
        <v>5</v>
      </c>
      <c r="AB68" s="10" t="s">
        <v>6</v>
      </c>
      <c r="AC68" s="6" t="s">
        <v>5</v>
      </c>
      <c r="AD68" s="7" t="s">
        <v>6</v>
      </c>
      <c r="AE68" s="7" t="s">
        <v>5</v>
      </c>
      <c r="AF68" s="10" t="s">
        <v>6</v>
      </c>
      <c r="AG68" s="6" t="s">
        <v>5</v>
      </c>
      <c r="AH68" s="7" t="s">
        <v>6</v>
      </c>
      <c r="AI68" s="7" t="s">
        <v>5</v>
      </c>
      <c r="AJ68" s="10" t="s">
        <v>6</v>
      </c>
      <c r="AK68" s="6" t="s">
        <v>5</v>
      </c>
      <c r="AL68" s="7" t="s">
        <v>6</v>
      </c>
      <c r="AM68" s="7" t="s">
        <v>5</v>
      </c>
      <c r="AN68" s="10" t="s">
        <v>6</v>
      </c>
      <c r="AO68" s="6" t="s">
        <v>5</v>
      </c>
      <c r="AP68" s="7" t="s">
        <v>6</v>
      </c>
      <c r="AQ68" s="7" t="s">
        <v>5</v>
      </c>
      <c r="AR68" s="10" t="s">
        <v>6</v>
      </c>
    </row>
    <row r="69" spans="13:44" ht="12.75">
      <c r="M69" s="6">
        <f>M55</f>
        <v>0</v>
      </c>
      <c r="N69" s="7">
        <f>N55</f>
        <v>0</v>
      </c>
      <c r="O69" s="7">
        <f>M55</f>
        <v>0</v>
      </c>
      <c r="P69" s="10">
        <f>N55</f>
        <v>0</v>
      </c>
      <c r="Q69" s="6">
        <f>Q55</f>
        <v>0</v>
      </c>
      <c r="R69" s="7">
        <f>R55</f>
        <v>0</v>
      </c>
      <c r="S69" s="7">
        <f>Q55</f>
        <v>0</v>
      </c>
      <c r="T69" s="10">
        <f>R55</f>
        <v>0</v>
      </c>
      <c r="U69" s="6">
        <f>U55</f>
        <v>0</v>
      </c>
      <c r="V69" s="7">
        <f>V55</f>
        <v>0</v>
      </c>
      <c r="W69" s="7">
        <f>U55</f>
        <v>0</v>
      </c>
      <c r="X69" s="10">
        <f>V55</f>
        <v>0</v>
      </c>
      <c r="Y69" s="6">
        <f>Y55</f>
        <v>0</v>
      </c>
      <c r="Z69" s="7">
        <f>Z55</f>
        <v>0</v>
      </c>
      <c r="AA69" s="7">
        <f>Y55</f>
        <v>0</v>
      </c>
      <c r="AB69" s="10">
        <f>Z55</f>
        <v>0</v>
      </c>
      <c r="AC69" s="6">
        <f>AC55</f>
        <v>0</v>
      </c>
      <c r="AD69" s="7">
        <f>AD55</f>
        <v>0</v>
      </c>
      <c r="AE69" s="7">
        <f>AC55</f>
        <v>0</v>
      </c>
      <c r="AF69" s="10">
        <f>AD55</f>
        <v>0</v>
      </c>
      <c r="AG69" s="6">
        <f>AG55</f>
        <v>0</v>
      </c>
      <c r="AH69" s="7">
        <f>AH55</f>
        <v>0</v>
      </c>
      <c r="AI69" s="7">
        <f>AG55</f>
        <v>0</v>
      </c>
      <c r="AJ69" s="10">
        <f>AH55</f>
        <v>0</v>
      </c>
      <c r="AK69" s="6">
        <f>AK55</f>
        <v>0</v>
      </c>
      <c r="AL69" s="7">
        <f>AL55</f>
        <v>0</v>
      </c>
      <c r="AM69" s="7">
        <f>AK55</f>
        <v>0</v>
      </c>
      <c r="AN69" s="10">
        <f>AL55</f>
        <v>0</v>
      </c>
      <c r="AO69" s="6">
        <f>AO55</f>
        <v>0</v>
      </c>
      <c r="AP69" s="7">
        <f>AP55</f>
        <v>0</v>
      </c>
      <c r="AQ69" s="7">
        <f>AO55</f>
        <v>0</v>
      </c>
      <c r="AR69" s="10">
        <f>AP55</f>
        <v>0</v>
      </c>
    </row>
    <row r="70" spans="13:44" ht="12.75">
      <c r="M70" s="6"/>
      <c r="N70" s="7">
        <f>SQRT((M57-M56)^2+(N57-N56)^2)</f>
        <v>51.419840528729765</v>
      </c>
      <c r="O70" s="7"/>
      <c r="P70" s="10">
        <f>SQRT((M57-M56)^2+(N57-N56)^2)</f>
        <v>51.419840528729765</v>
      </c>
      <c r="Q70" s="6"/>
      <c r="R70" s="7">
        <f>SQRT((Q57-Q56)^2+(R57-R56)^2)</f>
        <v>51.419840528729765</v>
      </c>
      <c r="S70" s="7"/>
      <c r="T70" s="10">
        <f>SQRT((Q57-Q56)^2+(R57-R56)^2)</f>
        <v>51.419840528729765</v>
      </c>
      <c r="U70" s="6"/>
      <c r="V70" s="7">
        <f>SQRT((U57-U56)^2+(V57-V56)^2)</f>
        <v>51.419840528729765</v>
      </c>
      <c r="W70" s="7"/>
      <c r="X70" s="10">
        <f>SQRT((U57-U56)^2+(V57-V56)^2)</f>
        <v>51.419840528729765</v>
      </c>
      <c r="Y70" s="6"/>
      <c r="Z70" s="7">
        <f>SQRT((Y57-Y56)^2+(Z57-Z56)^2)</f>
        <v>51.419840528729765</v>
      </c>
      <c r="AA70" s="7"/>
      <c r="AB70" s="10">
        <f>SQRT((Y57-Y56)^2+(Z57-Z56)^2)</f>
        <v>51.419840528729765</v>
      </c>
      <c r="AC70" s="6"/>
      <c r="AD70" s="7">
        <f>SQRT((AC57-AC56)^2+(AD57-AD56)^2)</f>
        <v>51.419840528729765</v>
      </c>
      <c r="AE70" s="7"/>
      <c r="AF70" s="10">
        <f>SQRT((AC57-AC56)^2+(AD57-AD56)^2)</f>
        <v>51.419840528729765</v>
      </c>
      <c r="AG70" s="6"/>
      <c r="AH70" s="7">
        <f>SQRT((AG57-AG56)^2+(AH57-AH56)^2)</f>
        <v>51.419840528729765</v>
      </c>
      <c r="AI70" s="7"/>
      <c r="AJ70" s="10">
        <f>SQRT((AG57-AG56)^2+(AH57-AH56)^2)</f>
        <v>51.419840528729765</v>
      </c>
      <c r="AK70" s="6"/>
      <c r="AL70" s="7">
        <f>SQRT((AK57-AK56)^2+(AL57-AL56)^2)</f>
        <v>51.419840528729765</v>
      </c>
      <c r="AM70" s="7"/>
      <c r="AN70" s="10">
        <f>SQRT((AK57-AK56)^2+(AL57-AL56)^2)</f>
        <v>51.419840528729765</v>
      </c>
      <c r="AO70" s="6"/>
      <c r="AP70" s="7">
        <f>SQRT((AO57-AO56)^2+(AP57-AP56)^2)</f>
        <v>51.419840528729765</v>
      </c>
      <c r="AQ70" s="7"/>
      <c r="AR70" s="10">
        <f>SQRT((AO57-AO56)^2+(AP57-AP56)^2)</f>
        <v>51.419840528729765</v>
      </c>
    </row>
    <row r="71" spans="13:44" ht="12.75">
      <c r="M71" s="6"/>
      <c r="N71" s="7">
        <f>ATAN(N56/M57)</f>
        <v>0.23554498072086333</v>
      </c>
      <c r="O71" s="7"/>
      <c r="P71" s="10">
        <f>ATAN(N56/M57)</f>
        <v>0.23554498072086333</v>
      </c>
      <c r="Q71" s="6"/>
      <c r="R71" s="7">
        <f>ATAN(R56/Q57)</f>
        <v>0.23554498072086333</v>
      </c>
      <c r="S71" s="7"/>
      <c r="T71" s="10">
        <f>ATAN(R56/Q57)</f>
        <v>0.23554498072086333</v>
      </c>
      <c r="U71" s="6"/>
      <c r="V71" s="7">
        <f>ATAN(V56/U57)</f>
        <v>0.23554498072086333</v>
      </c>
      <c r="W71" s="7"/>
      <c r="X71" s="10">
        <f>ATAN(V56/U57)</f>
        <v>0.23554498072086333</v>
      </c>
      <c r="Y71" s="6"/>
      <c r="Z71" s="7">
        <f>ATAN(Z56/Y57)</f>
        <v>0.23554498072086333</v>
      </c>
      <c r="AA71" s="7"/>
      <c r="AB71" s="10">
        <f>ATAN(Z56/Y57)</f>
        <v>0.23554498072086333</v>
      </c>
      <c r="AC71" s="6"/>
      <c r="AD71" s="7">
        <f>ATAN(AD56/AC57)</f>
        <v>0.23554498072086333</v>
      </c>
      <c r="AE71" s="7"/>
      <c r="AF71" s="10">
        <f>ATAN(AD56/AC57)</f>
        <v>0.23554498072086333</v>
      </c>
      <c r="AG71" s="6"/>
      <c r="AH71" s="7">
        <f>ATAN(AH56/AG57)</f>
        <v>0.23554498072086333</v>
      </c>
      <c r="AI71" s="7"/>
      <c r="AJ71" s="10">
        <f>ATAN(AH56/AG57)</f>
        <v>0.23554498072086333</v>
      </c>
      <c r="AK71" s="6"/>
      <c r="AL71" s="7">
        <f>ATAN(AL56/AK57)</f>
        <v>0.23554498072086333</v>
      </c>
      <c r="AM71" s="7"/>
      <c r="AN71" s="10">
        <f>ATAN(AL56/AK57)</f>
        <v>0.23554498072086333</v>
      </c>
      <c r="AO71" s="6"/>
      <c r="AP71" s="7">
        <f>ATAN(AP56/AO57)</f>
        <v>0.23554498072086333</v>
      </c>
      <c r="AQ71" s="7"/>
      <c r="AR71" s="10">
        <f>ATAN(AP56/AO57)</f>
        <v>0.23554498072086333</v>
      </c>
    </row>
    <row r="72" spans="13:44" ht="12.75">
      <c r="M72" s="6"/>
      <c r="N72" s="7">
        <f>ACOS((Gaine!$D$11^2+N70^2-M66^2)/(2*Gaine!$D$11*N70))</f>
        <v>1.6302188980993124</v>
      </c>
      <c r="O72" s="7"/>
      <c r="P72" s="10">
        <f>ACOS((Gaine!$D$11^2+P70^2-O66^2)/(2*Gaine!$D$11*P70))</f>
        <v>1.4452499915880634</v>
      </c>
      <c r="Q72" s="6"/>
      <c r="R72" s="7">
        <f>ACOS((Gaine!$D$11^2+R70^2-Q66^2)/(2*Gaine!$D$11*R70))</f>
        <v>1.7260466526873648</v>
      </c>
      <c r="S72" s="7"/>
      <c r="T72" s="10">
        <f>ACOS((Gaine!$D$11^2+T70^2-S66^2)/(2*Gaine!$D$11*T70))</f>
        <v>1.3561337002268963</v>
      </c>
      <c r="U72" s="6"/>
      <c r="V72" s="7">
        <f>ACOS((Gaine!$D$11^2+V70^2-U66^2)/(2*Gaine!$D$11*V70))</f>
        <v>1.8240069454402719</v>
      </c>
      <c r="W72" s="7"/>
      <c r="X72" s="10">
        <f>ACOS((Gaine!$D$11^2+X70^2-W66^2)/(2*Gaine!$D$11*X70))</f>
        <v>1.269222548517511</v>
      </c>
      <c r="Y72" s="6"/>
      <c r="Z72" s="7">
        <f>ACOS((Gaine!$D$11^2+Z70^2-Y66^2)/(2*Gaine!$D$11*Z70))</f>
        <v>1.9239403442460299</v>
      </c>
      <c r="AA72" s="7"/>
      <c r="AB72" s="10">
        <f>ACOS((Gaine!$D$11^2+AB70^2-AA66^2)/(2*Gaine!$D$11*AB70))</f>
        <v>1.1844540313309122</v>
      </c>
      <c r="AC72" s="6"/>
      <c r="AD72" s="7">
        <f>ACOS((Gaine!$D$11^2+AD70^2-AC66^2)/(2*Gaine!$D$11*AD70))</f>
        <v>2.025582731087937</v>
      </c>
      <c r="AE72" s="7"/>
      <c r="AF72" s="10">
        <f>ACOS((Gaine!$D$11^2+AF70^2-AE66^2)/(2*Gaine!$D$11*AF70))</f>
        <v>1.101744250737824</v>
      </c>
      <c r="AG72" s="6"/>
      <c r="AH72" s="7">
        <f>ACOS((Gaine!$D$11^2+AH70^2-AG66^2)/(2*Gaine!$D$11*AH70))</f>
        <v>2.128517798046749</v>
      </c>
      <c r="AI72" s="7"/>
      <c r="AJ72" s="10">
        <f>ACOS((Gaine!$D$11^2+AJ70^2-AI66^2)/(2*Gaine!$D$11*AJ70))</f>
        <v>1.0209890574975449</v>
      </c>
      <c r="AK72" s="6"/>
      <c r="AL72" s="7">
        <f>ACOS((Gaine!$D$11^2+AL70^2-AK66^2)/(2*Gaine!$D$11*AL70))</f>
        <v>2.232101306697604</v>
      </c>
      <c r="AM72" s="7"/>
      <c r="AN72" s="10">
        <f>ACOS((Gaine!$D$11^2+AN70^2-AM66^2)/(2*Gaine!$D$11*AN70))</f>
        <v>0.9420631767750837</v>
      </c>
      <c r="AO72" s="6"/>
      <c r="AP72" s="7">
        <f>ACOS((Gaine!$D$11^2+AP70^2-AO66^2)/(2*Gaine!$D$11*AP70))</f>
        <v>2.335335202274118</v>
      </c>
      <c r="AQ72" s="7"/>
      <c r="AR72" s="10">
        <f>ACOS((Gaine!$D$11^2+AR70^2-AQ66^2)/(2*Gaine!$D$11*AR70))</f>
        <v>0.8648170940817603</v>
      </c>
    </row>
    <row r="73" spans="13:44" ht="12.75">
      <c r="M73" s="6"/>
      <c r="N73" s="7">
        <f>PI()-N72-N71</f>
        <v>1.2758287747696173</v>
      </c>
      <c r="O73" s="7"/>
      <c r="P73" s="10">
        <f>PI()-P72-P71</f>
        <v>1.4607976812808663</v>
      </c>
      <c r="Q73" s="6"/>
      <c r="R73" s="7">
        <f>PI()-R72-R71</f>
        <v>1.180001020181565</v>
      </c>
      <c r="S73" s="7"/>
      <c r="T73" s="10">
        <f>PI()-T72-T71</f>
        <v>1.5499139726420335</v>
      </c>
      <c r="U73" s="6"/>
      <c r="V73" s="7">
        <f>PI()-V72-V71</f>
        <v>1.0820407274286579</v>
      </c>
      <c r="W73" s="7"/>
      <c r="X73" s="10">
        <f>PI()-X72-X71</f>
        <v>1.6368251243514187</v>
      </c>
      <c r="Y73" s="6"/>
      <c r="Z73" s="7">
        <f>PI()-Z72-Z71</f>
        <v>0.9821073286228998</v>
      </c>
      <c r="AA73" s="7"/>
      <c r="AB73" s="10">
        <f>PI()-AB72-AB71</f>
        <v>1.7215936415380175</v>
      </c>
      <c r="AC73" s="6"/>
      <c r="AD73" s="7">
        <f>PI()-AD72-AD71</f>
        <v>0.8804649417809929</v>
      </c>
      <c r="AE73" s="7"/>
      <c r="AF73" s="10">
        <f>PI()-AF72-AF71</f>
        <v>1.8043034221311058</v>
      </c>
      <c r="AG73" s="6"/>
      <c r="AH73" s="7">
        <f>PI()-AH72-AH71</f>
        <v>0.7775298748221806</v>
      </c>
      <c r="AI73" s="7"/>
      <c r="AJ73" s="10">
        <f>PI()-AJ72-AJ71</f>
        <v>1.885058615371385</v>
      </c>
      <c r="AK73" s="6"/>
      <c r="AL73" s="7">
        <f>PI()-AL72-AL71</f>
        <v>0.6739463661713259</v>
      </c>
      <c r="AM73" s="7"/>
      <c r="AN73" s="10">
        <f>PI()-AN72-AN71</f>
        <v>1.9639844960938462</v>
      </c>
      <c r="AO73" s="6"/>
      <c r="AP73" s="7">
        <f>PI()-AP72-AP71</f>
        <v>0.5707124705948117</v>
      </c>
      <c r="AQ73" s="7"/>
      <c r="AR73" s="10">
        <f>PI()-AR72-AR71</f>
        <v>2.0412305787871694</v>
      </c>
    </row>
    <row r="74" spans="13:44" ht="12.75">
      <c r="M74" s="6" t="s">
        <v>5</v>
      </c>
      <c r="N74" s="7" t="s">
        <v>6</v>
      </c>
      <c r="O74" s="7" t="s">
        <v>5</v>
      </c>
      <c r="P74" s="10" t="s">
        <v>6</v>
      </c>
      <c r="Q74" s="6" t="s">
        <v>5</v>
      </c>
      <c r="R74" s="7" t="s">
        <v>6</v>
      </c>
      <c r="S74" s="7" t="s">
        <v>5</v>
      </c>
      <c r="T74" s="10" t="s">
        <v>6</v>
      </c>
      <c r="U74" s="6" t="s">
        <v>5</v>
      </c>
      <c r="V74" s="7" t="s">
        <v>6</v>
      </c>
      <c r="W74" s="7" t="s">
        <v>5</v>
      </c>
      <c r="X74" s="10" t="s">
        <v>6</v>
      </c>
      <c r="Y74" s="6" t="s">
        <v>5</v>
      </c>
      <c r="Z74" s="7" t="s">
        <v>6</v>
      </c>
      <c r="AA74" s="7" t="s">
        <v>5</v>
      </c>
      <c r="AB74" s="10" t="s">
        <v>6</v>
      </c>
      <c r="AC74" s="6" t="s">
        <v>5</v>
      </c>
      <c r="AD74" s="7" t="s">
        <v>6</v>
      </c>
      <c r="AE74" s="7" t="s">
        <v>5</v>
      </c>
      <c r="AF74" s="10" t="s">
        <v>6</v>
      </c>
      <c r="AG74" s="6" t="s">
        <v>5</v>
      </c>
      <c r="AH74" s="7" t="s">
        <v>6</v>
      </c>
      <c r="AI74" s="7" t="s">
        <v>5</v>
      </c>
      <c r="AJ74" s="10" t="s">
        <v>6</v>
      </c>
      <c r="AK74" s="6" t="s">
        <v>5</v>
      </c>
      <c r="AL74" s="7" t="s">
        <v>6</v>
      </c>
      <c r="AM74" s="7" t="s">
        <v>5</v>
      </c>
      <c r="AN74" s="10" t="s">
        <v>6</v>
      </c>
      <c r="AO74" s="6" t="s">
        <v>5</v>
      </c>
      <c r="AP74" s="7" t="s">
        <v>6</v>
      </c>
      <c r="AQ74" s="7" t="s">
        <v>5</v>
      </c>
      <c r="AR74" s="10" t="s">
        <v>6</v>
      </c>
    </row>
    <row r="75" spans="13:44" ht="12.75">
      <c r="M75" s="6">
        <f>M57+Gaine!$D$11*COS(N73)</f>
        <v>55.814176073577315</v>
      </c>
      <c r="N75" s="7">
        <f>N57+Gaine!$D$11*SIN(N73)</f>
        <v>19.136231514732494</v>
      </c>
      <c r="O75" s="7">
        <f>M57+Gaine!$D$11*COS(P73)</f>
        <v>52.1955390907497</v>
      </c>
      <c r="P75" s="10">
        <f>J57+Gaine!$D$11*SIN(P73)</f>
        <v>49.87912493297907</v>
      </c>
      <c r="Q75" s="6">
        <f>Q57+Gaine!$D$11*COS(R73)</f>
        <v>57.6184776220135</v>
      </c>
      <c r="R75" s="7">
        <f>R57+Gaine!$D$11*SIN(R73)</f>
        <v>18.492128020400454</v>
      </c>
      <c r="S75" s="7">
        <f>Q57+Gaine!$D$11*COS(T73)</f>
        <v>50.41761672963619</v>
      </c>
      <c r="T75" s="10">
        <f>O57+Gaine!$D$11*SIN(T73)</f>
        <v>19.995639431314217</v>
      </c>
      <c r="U75" s="6">
        <f>U57+Gaine!$D$11*COS(V73)</f>
        <v>59.39055096992586</v>
      </c>
      <c r="V75" s="7">
        <f>V57+Gaine!$D$11*SIN(V73)</f>
        <v>17.658356449036376</v>
      </c>
      <c r="W75" s="7">
        <f>U57+Gaine!$D$11*COS(X73)</f>
        <v>48.6803834146824</v>
      </c>
      <c r="X75" s="10">
        <f>S57+Gaine!$D$11*SIN(X73)</f>
        <v>19.95641781652596</v>
      </c>
      <c r="Y75" s="6">
        <f>Y57+Gaine!$D$11*COS(Z73)</f>
        <v>61.105423607192456</v>
      </c>
      <c r="Z75" s="7">
        <f>Z57+Gaine!$D$11*SIN(Z73)</f>
        <v>16.633387102596167</v>
      </c>
      <c r="AA75" s="7">
        <f>Y57+Gaine!$D$11*COS(AB73)</f>
        <v>46.99547106703268</v>
      </c>
      <c r="AB75" s="10">
        <f>W57+Gaine!$D$11*SIN(AB73)</f>
        <v>19.77303228872502</v>
      </c>
      <c r="AC75" s="6">
        <f>AC57+Gaine!$D$11*COS(AD73)</f>
        <v>62.73585453275402</v>
      </c>
      <c r="AD75" s="7">
        <f>AD57+Gaine!$D$11*SIN(AD73)</f>
        <v>15.420700675408002</v>
      </c>
      <c r="AE75" s="7">
        <f>AC57+Gaine!$D$11*COS(AF73)</f>
        <v>45.37218289240143</v>
      </c>
      <c r="AF75" s="10">
        <f>AA57+Gaine!$D$11*SIN(AF73)</f>
        <v>19.457217396601653</v>
      </c>
      <c r="AG75" s="6">
        <f>AG57+Gaine!$D$11*COS(AH73)</f>
        <v>64.2529711124239</v>
      </c>
      <c r="AH75" s="7">
        <f>AH57+Gaine!$D$11*SIN(AH73)</f>
        <v>14.030424600432097</v>
      </c>
      <c r="AI75" s="7">
        <f>AG57+Gaine!$D$11*COS(AJ73)</f>
        <v>43.81770052725608</v>
      </c>
      <c r="AJ75" s="10">
        <f>AE57+Gaine!$D$11*SIN(AJ73)</f>
        <v>19.02049350646061</v>
      </c>
      <c r="AK75" s="6">
        <f>AK57+Gaine!$D$11*COS(AL73)</f>
        <v>65.62729861228705</v>
      </c>
      <c r="AL75" s="7">
        <f>AL57+Gaine!$D$11*SIN(AL73)</f>
        <v>12.481487815257095</v>
      </c>
      <c r="AM75" s="7">
        <f>AK57+Gaine!$D$11*COS(AN73)</f>
        <v>42.33729510799375</v>
      </c>
      <c r="AN75" s="10">
        <f>AI57+Gaine!$D$11*SIN(AN73)</f>
        <v>18.473845125961827</v>
      </c>
      <c r="AO75" s="6">
        <f>AO57+Gaine!$D$11*COS(AP73)</f>
        <v>66.83032579095114</v>
      </c>
      <c r="AP75" s="7">
        <f>AP57+Gaine!$D$11*SIN(AP73)</f>
        <v>10.80463482818578</v>
      </c>
      <c r="AQ75" s="7">
        <f>AO57+Gaine!$D$11*COS(AR73)</f>
        <v>40.93453184058344</v>
      </c>
      <c r="AR75" s="10">
        <f>AM57+Gaine!$D$11*SIN(AR73)</f>
        <v>17.827430747323195</v>
      </c>
    </row>
    <row r="76" spans="13:44" ht="12.75">
      <c r="M76" s="6">
        <f>N73-M61</f>
        <v>-0.18087609383466474</v>
      </c>
      <c r="N76" s="7"/>
      <c r="O76" s="7">
        <f>P73-M61</f>
        <v>0.004092812676584234</v>
      </c>
      <c r="P76" s="10"/>
      <c r="Q76" s="6">
        <f>R73-Q61</f>
        <v>-0.2767038484227171</v>
      </c>
      <c r="R76" s="7"/>
      <c r="S76" s="7">
        <f>T73-Q61</f>
        <v>0.0932091040377514</v>
      </c>
      <c r="T76" s="10"/>
      <c r="U76" s="6">
        <f>V73-U61</f>
        <v>-0.3746641411756242</v>
      </c>
      <c r="V76" s="7"/>
      <c r="W76" s="7">
        <f>X73-U61</f>
        <v>0.18012025574713664</v>
      </c>
      <c r="X76" s="10"/>
      <c r="Y76" s="6">
        <f>Z73-Y61</f>
        <v>-0.4745975399813822</v>
      </c>
      <c r="Z76" s="7"/>
      <c r="AA76" s="7">
        <f>AB73-Y61</f>
        <v>0.2648887729337355</v>
      </c>
      <c r="AB76" s="10"/>
      <c r="AC76" s="6">
        <f>AD73-AC61</f>
        <v>-0.5762399268232892</v>
      </c>
      <c r="AD76" s="7"/>
      <c r="AE76" s="7">
        <f>AF73-AC61</f>
        <v>0.3475985535268238</v>
      </c>
      <c r="AF76" s="10"/>
      <c r="AG76" s="6">
        <f>AH73-AG61</f>
        <v>-0.6791749937821014</v>
      </c>
      <c r="AH76" s="7"/>
      <c r="AI76" s="7">
        <f>AJ73-AG61</f>
        <v>0.428353746767103</v>
      </c>
      <c r="AJ76" s="10"/>
      <c r="AK76" s="6">
        <f>AL73-AK61</f>
        <v>-0.7827585024329562</v>
      </c>
      <c r="AL76" s="7"/>
      <c r="AM76" s="7">
        <f>AN73-AK61</f>
        <v>0.5072796274895641</v>
      </c>
      <c r="AN76" s="10"/>
      <c r="AO76" s="6">
        <f>AP73-AO61</f>
        <v>-0.8859923980094704</v>
      </c>
      <c r="AP76" s="7"/>
      <c r="AQ76" s="7">
        <f>AR73-AO61</f>
        <v>0.5845257101828873</v>
      </c>
      <c r="AR76" s="10"/>
    </row>
    <row r="77" spans="13:44" ht="12.75">
      <c r="M77" s="6">
        <f>M57+Gaine!$D$13*COS(M76)</f>
        <v>89.34745874131258</v>
      </c>
      <c r="N77" s="2">
        <f>N57+Gaine!$D$13*SIN(M76)</f>
        <v>-7.19565776011504</v>
      </c>
      <c r="O77" s="7">
        <f>M57+Gaine!$D$13*COS(O76)</f>
        <v>89.99966497815555</v>
      </c>
      <c r="P77" s="10">
        <f>N57+Gaine!$D$13*SIN(O76)</f>
        <v>0.16371205000256353</v>
      </c>
      <c r="Q77" s="6">
        <f>Q57+Gaine!$D$13*COS(Q76)</f>
        <v>88.4784450409674</v>
      </c>
      <c r="R77" s="2">
        <f>R57+Gaine!$D$13*SIN(Q76)</f>
        <v>-10.927454746154364</v>
      </c>
      <c r="S77" s="7">
        <f>Q57+Gaine!$D$13*COS(S76)</f>
        <v>89.82636702248142</v>
      </c>
      <c r="T77" s="10">
        <f>R57+Gaine!$D$13*SIN(S76)</f>
        <v>3.722967873968881</v>
      </c>
      <c r="U77" s="6">
        <f>U57+Gaine!$D$13*COS(U76)</f>
        <v>87.22522341159429</v>
      </c>
      <c r="V77" s="2">
        <f>V57+Gaine!$D$13*SIN(U76)</f>
        <v>-14.638399569518949</v>
      </c>
      <c r="W77" s="7">
        <f>U57+Gaine!$D$13*COS(W76)</f>
        <v>89.35288625356642</v>
      </c>
      <c r="X77" s="10">
        <f>V57+Gaine!$D$13*SIN(W76)</f>
        <v>7.165915399574711</v>
      </c>
      <c r="Y77" s="6">
        <f>Y57+Gaine!$D$13*COS(Y76)</f>
        <v>85.5790684014795</v>
      </c>
      <c r="Z77" s="2">
        <f>Z57+Gaine!$D$13*SIN(Y76)</f>
        <v>-18.27922021539331</v>
      </c>
      <c r="AA77" s="7">
        <f>Y57+Gaine!$D$13*COS(AA76)</f>
        <v>88.60486505243969</v>
      </c>
      <c r="AB77" s="10">
        <f>Z57+Gaine!$D$13*SIN(AA76)</f>
        <v>10.472076884883952</v>
      </c>
      <c r="AC77" s="6">
        <f>AC57+Gaine!$D$13*COS(AC76)</f>
        <v>83.54069368616871</v>
      </c>
      <c r="AD77" s="2">
        <f>AD57+Gaine!$D$13*SIN(AC76)</f>
        <v>-21.794996376476018</v>
      </c>
      <c r="AE77" s="7">
        <f>AC57+Gaine!$D$13*COS(AE76)</f>
        <v>87.60773816528508</v>
      </c>
      <c r="AF77" s="10">
        <f>AD57+Gaine!$D$13*SIN(AE76)</f>
        <v>13.625638703978591</v>
      </c>
      <c r="AG77" s="6">
        <f>AG57+Gaine!$D$13*COS(AG76)</f>
        <v>81.1236484889991</v>
      </c>
      <c r="AH77" s="2">
        <f>AH57+Gaine!$D$13*SIN(AG76)</f>
        <v>-25.126052310962514</v>
      </c>
      <c r="AI77" s="7">
        <f>AG57+Gaine!$D$13*COS(AI76)</f>
        <v>86.38603170218992</v>
      </c>
      <c r="AJ77" s="10">
        <f>AH57+Gaine!$D$13*SIN(AI76)</f>
        <v>16.614954016404308</v>
      </c>
      <c r="AK77" s="6">
        <f>AK57+Gaine!$D$13*COS(AK76)</f>
        <v>78.35883350782224</v>
      </c>
      <c r="AL77" s="2">
        <f>AL57+Gaine!$D$13*SIN(AK76)</f>
        <v>-28.209511907787743</v>
      </c>
      <c r="AM77" s="7">
        <f>AK57+Gaine!$D$13*COS(AM76)</f>
        <v>84.96277202526242</v>
      </c>
      <c r="AN77" s="10">
        <f>AL57+Gaine!$D$13*SIN(AM76)</f>
        <v>19.432050131407323</v>
      </c>
      <c r="AO77" s="6">
        <f>AO57+Gaine!$D$13*COS(AO76)</f>
        <v>75.30084632291965</v>
      </c>
      <c r="AP77" s="2">
        <f>AP57+Gaine!$D$13*SIN(AO76)</f>
        <v>-30.981723246843504</v>
      </c>
      <c r="AQ77" s="7">
        <f>AO57+Gaine!$D$13*COS(AQ76)</f>
        <v>83.35895578596649</v>
      </c>
      <c r="AR77" s="10">
        <f>AP57+Gaine!$D$13*SIN(AQ76)</f>
        <v>22.072155963338357</v>
      </c>
    </row>
    <row r="78" spans="13:44" ht="12.75">
      <c r="M78" s="6">
        <f>-Gaine!$D$14+DEGREES(M76)</f>
        <v>-5.36343679153854</v>
      </c>
      <c r="N78" s="7"/>
      <c r="O78" s="7">
        <f>-Gaine!$D$14+DEGREES(O76)</f>
        <v>5.234500892705919</v>
      </c>
      <c r="P78" s="10"/>
      <c r="Q78" s="6">
        <f>-Gaine!$D$14+DEGREES(Q76)</f>
        <v>-10.853962689649352</v>
      </c>
      <c r="R78" s="7"/>
      <c r="S78" s="7">
        <f>-Gaine!$D$14+DEGREES(S76)</f>
        <v>10.340488273558956</v>
      </c>
      <c r="T78" s="10"/>
      <c r="U78" s="6">
        <f>-Gaine!$D$14+DEGREES(U76)</f>
        <v>-16.46667402425691</v>
      </c>
      <c r="V78" s="7"/>
      <c r="W78" s="7">
        <f>-Gaine!$D$14+DEGREES(W76)</f>
        <v>15.32013045912794</v>
      </c>
      <c r="X78" s="10"/>
      <c r="Y78" s="6">
        <f>-Gaine!$D$14+DEGREES(Y76)</f>
        <v>-22.192436008224547</v>
      </c>
      <c r="Z78" s="7"/>
      <c r="AA78" s="7">
        <f>-Gaine!$D$14+DEGREES(AA76)</f>
        <v>20.177008729502234</v>
      </c>
      <c r="AB78" s="10"/>
      <c r="AC78" s="6">
        <f>-Gaine!$D$14+DEGREES(AC76)</f>
        <v>-28.016115793901868</v>
      </c>
      <c r="AD78" s="7"/>
      <c r="AE78" s="7">
        <f>-Gaine!$D$14+DEGREES(AE76)</f>
        <v>24.91593008193924</v>
      </c>
      <c r="AF78" s="10"/>
      <c r="AG78" s="6">
        <f>-Gaine!$D$14+DEGREES(AG76)</f>
        <v>-33.91386069453834</v>
      </c>
      <c r="AH78" s="7"/>
      <c r="AI78" s="7">
        <f>-Gaine!$D$14+DEGREES(AI76)</f>
        <v>29.542861828370636</v>
      </c>
      <c r="AJ78" s="10"/>
      <c r="AK78" s="6">
        <f>-Gaine!$D$14+DEGREES(AK76)</f>
        <v>-39.84875856738917</v>
      </c>
      <c r="AL78" s="7"/>
      <c r="AM78" s="7">
        <f>-Gaine!$D$14+DEGREES(AM76)</f>
        <v>34.0649816881206</v>
      </c>
      <c r="AN78" s="10"/>
      <c r="AO78" s="6">
        <f>-Gaine!$D$14+DEGREES(AO76)</f>
        <v>-45.763625086617694</v>
      </c>
      <c r="AP78" s="7"/>
      <c r="AQ78" s="7">
        <f>-Gaine!$D$14+DEGREES(AQ76)</f>
        <v>38.49085621036657</v>
      </c>
      <c r="AR78" s="10"/>
    </row>
    <row r="79" spans="13:44" ht="13.5" thickBot="1">
      <c r="M79" s="8">
        <f>SQRT((M59-M77)^2+(N59-N77)^2)</f>
        <v>3.743018267440526</v>
      </c>
      <c r="N79" s="9"/>
      <c r="O79" s="9">
        <f>SQRT((M59-O77)^2+(N59-P77)^2)</f>
        <v>3.6531002573712743</v>
      </c>
      <c r="P79" s="11"/>
      <c r="Q79" s="8">
        <f>SQRT((Q59-Q77)^2+(R59-R77)^2)</f>
        <v>7.5661700992306775</v>
      </c>
      <c r="R79" s="9"/>
      <c r="S79" s="9">
        <f>SQRT((Q59-S77)^2+(R59-T77)^2)</f>
        <v>7.209229408082382</v>
      </c>
      <c r="T79" s="11"/>
      <c r="U79" s="8">
        <f>SQRT((U59-U77)^2+(V59-V77)^2)</f>
        <v>11.456384124044122</v>
      </c>
      <c r="V79" s="9"/>
      <c r="W79" s="9">
        <f>SQRT((U59-W77)^2+(V59-X77)^2)</f>
        <v>10.663635547809756</v>
      </c>
      <c r="X79" s="11"/>
      <c r="Y79" s="8">
        <f>SQRT((Y59-Y77)^2+(Z59-Z77)^2)</f>
        <v>15.396575413206557</v>
      </c>
      <c r="Z79" s="9"/>
      <c r="AA79" s="9">
        <f>SQRT((Y59-AA77)^2+(Z59-AB77)^2)</f>
        <v>14.013535608760295</v>
      </c>
      <c r="AB79" s="11"/>
      <c r="AC79" s="8">
        <f>SQRT((AC59-AC77)^2+(AD59-AD77)^2)</f>
        <v>19.36466820194999</v>
      </c>
      <c r="AD79" s="9"/>
      <c r="AE79" s="9">
        <f>SQRT((AC59-AE77)^2+(AD59-AF77)^2)</f>
        <v>17.257863817232764</v>
      </c>
      <c r="AF79" s="11"/>
      <c r="AG79" s="8">
        <f>SQRT((AG59-AG77)^2+(AH59-AH77)^2)</f>
        <v>23.33222087759241</v>
      </c>
      <c r="AH79" s="9"/>
      <c r="AI79" s="9">
        <f>SQRT((AG59-AI77)^2+(AH59-AJ77)^2)</f>
        <v>20.397091541096003</v>
      </c>
      <c r="AJ79" s="11"/>
      <c r="AK79" s="8">
        <f>SQRT((AK59-AK77)^2+(AL59-AL77)^2)</f>
        <v>27.262368866360525</v>
      </c>
      <c r="AL79" s="9"/>
      <c r="AM79" s="9">
        <f>SQRT((AK59-AM77)^2+(AL59-AN77)^2)</f>
        <v>23.433116122540266</v>
      </c>
      <c r="AN79" s="11"/>
      <c r="AO79" s="8">
        <f>SQRT((AO59-AO77)^2+(AP59-AP77)^2)</f>
        <v>31.106521418753815</v>
      </c>
      <c r="AP79" s="9"/>
      <c r="AQ79" s="9">
        <f>SQRT((AO59-AQ77)^2+(AP59-AR77)^2)</f>
        <v>26.36922487927187</v>
      </c>
      <c r="AR79" s="11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/>
  <dimension ref="A1:AQ526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3" max="3" width="11.7109375" style="0" bestFit="1" customWidth="1"/>
    <col min="4" max="5" width="7.57421875" style="0" bestFit="1" customWidth="1"/>
    <col min="6" max="6" width="3.28125" style="0" customWidth="1"/>
    <col min="8" max="8" width="11.7109375" style="0" bestFit="1" customWidth="1"/>
    <col min="9" max="9" width="7.28125" style="0" customWidth="1"/>
    <col min="10" max="10" width="7.57421875" style="0" bestFit="1" customWidth="1"/>
    <col min="11" max="11" width="3.140625" style="0" customWidth="1"/>
    <col min="12" max="13" width="7.57421875" style="0" bestFit="1" customWidth="1"/>
    <col min="14" max="14" width="7.421875" style="0" bestFit="1" customWidth="1"/>
    <col min="15" max="20" width="7.57421875" style="0" bestFit="1" customWidth="1"/>
    <col min="21" max="21" width="7.421875" style="0" bestFit="1" customWidth="1"/>
    <col min="22" max="24" width="7.57421875" style="0" bestFit="1" customWidth="1"/>
    <col min="25" max="25" width="7.421875" style="0" bestFit="1" customWidth="1"/>
    <col min="26" max="28" width="7.57421875" style="0" bestFit="1" customWidth="1"/>
    <col min="29" max="29" width="7.421875" style="0" bestFit="1" customWidth="1"/>
    <col min="30" max="30" width="7.57421875" style="0" bestFit="1" customWidth="1"/>
    <col min="31" max="31" width="7.421875" style="0" bestFit="1" customWidth="1"/>
    <col min="32" max="32" width="7.57421875" style="0" bestFit="1" customWidth="1"/>
    <col min="33" max="33" width="7.421875" style="0" bestFit="1" customWidth="1"/>
    <col min="34" max="34" width="7.57421875" style="0" bestFit="1" customWidth="1"/>
    <col min="35" max="35" width="7.421875" style="0" bestFit="1" customWidth="1"/>
    <col min="36" max="37" width="7.57421875" style="0" bestFit="1" customWidth="1"/>
    <col min="38" max="38" width="7.421875" style="0" bestFit="1" customWidth="1"/>
    <col min="39" max="41" width="7.57421875" style="0" bestFit="1" customWidth="1"/>
    <col min="42" max="42" width="7.421875" style="0" bestFit="1" customWidth="1"/>
    <col min="43" max="43" width="7.28125" style="0" bestFit="1" customWidth="1"/>
  </cols>
  <sheetData>
    <row r="1" spans="1:16" ht="13.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"/>
    </row>
    <row r="2" spans="1:43" ht="12.75">
      <c r="A2" s="2"/>
      <c r="B2" s="15" t="s">
        <v>105</v>
      </c>
      <c r="C2" s="7"/>
      <c r="D2" s="7" t="s">
        <v>5</v>
      </c>
      <c r="E2" s="2" t="s">
        <v>6</v>
      </c>
      <c r="F2" s="2"/>
      <c r="G2" s="2"/>
      <c r="H2" s="2"/>
      <c r="I2" s="2"/>
      <c r="J2" s="2"/>
      <c r="K2" s="2"/>
      <c r="L2" s="39" t="s">
        <v>5</v>
      </c>
      <c r="M2" s="4" t="s">
        <v>6</v>
      </c>
      <c r="N2" s="4"/>
      <c r="O2" s="38" t="s">
        <v>153</v>
      </c>
      <c r="P2" s="39" t="s">
        <v>5</v>
      </c>
      <c r="Q2" s="4" t="s">
        <v>6</v>
      </c>
      <c r="R2" s="4"/>
      <c r="S2" s="38" t="s">
        <v>161</v>
      </c>
      <c r="T2" s="39" t="s">
        <v>5</v>
      </c>
      <c r="U2" s="4" t="s">
        <v>6</v>
      </c>
      <c r="V2" s="4"/>
      <c r="W2" s="38" t="s">
        <v>162</v>
      </c>
      <c r="X2" s="39" t="s">
        <v>5</v>
      </c>
      <c r="Y2" s="4" t="s">
        <v>6</v>
      </c>
      <c r="Z2" s="4"/>
      <c r="AA2" s="38" t="s">
        <v>163</v>
      </c>
      <c r="AB2" s="39" t="s">
        <v>5</v>
      </c>
      <c r="AC2" s="4" t="s">
        <v>6</v>
      </c>
      <c r="AD2" s="4"/>
      <c r="AE2" s="38" t="s">
        <v>164</v>
      </c>
      <c r="AF2" s="39" t="s">
        <v>5</v>
      </c>
      <c r="AG2" s="4" t="s">
        <v>6</v>
      </c>
      <c r="AH2" s="4"/>
      <c r="AI2" s="38" t="s">
        <v>165</v>
      </c>
      <c r="AJ2" s="39" t="s">
        <v>5</v>
      </c>
      <c r="AK2" s="4" t="s">
        <v>6</v>
      </c>
      <c r="AL2" s="4"/>
      <c r="AM2" s="38" t="s">
        <v>166</v>
      </c>
      <c r="AN2" s="39" t="s">
        <v>5</v>
      </c>
      <c r="AO2" s="4" t="s">
        <v>6</v>
      </c>
      <c r="AP2" s="4"/>
      <c r="AQ2" s="38" t="s">
        <v>167</v>
      </c>
    </row>
    <row r="3" spans="1:43" ht="12.75">
      <c r="A3" s="2"/>
      <c r="B3" s="13" t="s">
        <v>8</v>
      </c>
      <c r="C3" s="2"/>
      <c r="D3" s="13">
        <v>0</v>
      </c>
      <c r="E3" s="2">
        <v>0</v>
      </c>
      <c r="F3" s="2"/>
      <c r="G3" s="2"/>
      <c r="H3" s="2"/>
      <c r="I3" s="2"/>
      <c r="J3" s="2"/>
      <c r="K3" s="2"/>
      <c r="L3" s="40">
        <v>0</v>
      </c>
      <c r="M3" s="7">
        <v>0</v>
      </c>
      <c r="N3" s="7"/>
      <c r="O3" s="10"/>
      <c r="P3" s="40">
        <v>0</v>
      </c>
      <c r="Q3" s="7">
        <v>0</v>
      </c>
      <c r="R3" s="7"/>
      <c r="S3" s="10"/>
      <c r="T3" s="40">
        <v>0</v>
      </c>
      <c r="U3" s="7">
        <v>0</v>
      </c>
      <c r="V3" s="7"/>
      <c r="W3" s="10"/>
      <c r="X3" s="40">
        <v>0</v>
      </c>
      <c r="Y3" s="7">
        <v>0</v>
      </c>
      <c r="Z3" s="7"/>
      <c r="AA3" s="10"/>
      <c r="AB3" s="40">
        <v>0</v>
      </c>
      <c r="AC3" s="7">
        <v>0</v>
      </c>
      <c r="AD3" s="7"/>
      <c r="AE3" s="10"/>
      <c r="AF3" s="40">
        <v>0</v>
      </c>
      <c r="AG3" s="7">
        <v>0</v>
      </c>
      <c r="AH3" s="7"/>
      <c r="AI3" s="10"/>
      <c r="AJ3" s="40">
        <v>0</v>
      </c>
      <c r="AK3" s="7">
        <v>0</v>
      </c>
      <c r="AL3" s="7"/>
      <c r="AM3" s="10"/>
      <c r="AN3" s="40">
        <v>0</v>
      </c>
      <c r="AO3" s="7">
        <v>0</v>
      </c>
      <c r="AP3" s="7"/>
      <c r="AQ3" s="10"/>
    </row>
    <row r="4" spans="1:43" ht="12.75">
      <c r="A4" s="2"/>
      <c r="B4" s="2" t="s">
        <v>66</v>
      </c>
      <c r="C4" s="2"/>
      <c r="D4" s="2">
        <f>'Câbles A-R'!$D$7</f>
        <v>5</v>
      </c>
      <c r="E4" s="2">
        <f>SQRT('Câbles A-R'!$D$6^2-'Câbles A-R'!$D$7^2)</f>
        <v>19.364916731037084</v>
      </c>
      <c r="F4" s="2"/>
      <c r="G4" s="2"/>
      <c r="H4" s="2"/>
      <c r="I4" s="2"/>
      <c r="J4" s="2"/>
      <c r="K4" s="2"/>
      <c r="L4" s="6">
        <f>'Câbles A-R'!$D$7</f>
        <v>5</v>
      </c>
      <c r="M4" s="7">
        <f>SQRT('Câbles A-R'!$D$6^2-'Câbles A-R'!$D$7^2)</f>
        <v>19.364916731037084</v>
      </c>
      <c r="N4" s="7"/>
      <c r="O4" s="10"/>
      <c r="P4" s="6">
        <f>'Câbles A-R'!$D$7</f>
        <v>5</v>
      </c>
      <c r="Q4" s="7">
        <f>SQRT('Câbles A-R'!$D$6^2-'Câbles A-R'!$D$7^2)</f>
        <v>19.364916731037084</v>
      </c>
      <c r="R4" s="7"/>
      <c r="S4" s="10"/>
      <c r="T4" s="6">
        <f>'Câbles A-R'!$D$7</f>
        <v>5</v>
      </c>
      <c r="U4" s="7">
        <f>SQRT('Câbles A-R'!$D$6^2-'Câbles A-R'!$D$7^2)</f>
        <v>19.364916731037084</v>
      </c>
      <c r="V4" s="7"/>
      <c r="W4" s="10"/>
      <c r="X4" s="6">
        <f>'Câbles A-R'!$D$7</f>
        <v>5</v>
      </c>
      <c r="Y4" s="7">
        <f>SQRT('Câbles A-R'!$D$6^2-'Câbles A-R'!$D$7^2)</f>
        <v>19.364916731037084</v>
      </c>
      <c r="Z4" s="7"/>
      <c r="AA4" s="10"/>
      <c r="AB4" s="6">
        <f>'Câbles A-R'!$D$7</f>
        <v>5</v>
      </c>
      <c r="AC4" s="7">
        <f>SQRT('Câbles A-R'!$D$6^2-'Câbles A-R'!$D$7^2)</f>
        <v>19.364916731037084</v>
      </c>
      <c r="AD4" s="7"/>
      <c r="AE4" s="10"/>
      <c r="AF4" s="6">
        <f>'Câbles A-R'!$D$7</f>
        <v>5</v>
      </c>
      <c r="AG4" s="7">
        <f>SQRT('Câbles A-R'!$D$6^2-'Câbles A-R'!$D$7^2)</f>
        <v>19.364916731037084</v>
      </c>
      <c r="AH4" s="7"/>
      <c r="AI4" s="10"/>
      <c r="AJ4" s="6">
        <f>'Câbles A-R'!$D$7</f>
        <v>5</v>
      </c>
      <c r="AK4" s="7">
        <f>SQRT('Câbles A-R'!$D$6^2-'Câbles A-R'!$D$7^2)</f>
        <v>19.364916731037084</v>
      </c>
      <c r="AL4" s="7"/>
      <c r="AM4" s="10"/>
      <c r="AN4" s="6">
        <f>'Câbles A-R'!$D$7</f>
        <v>5</v>
      </c>
      <c r="AO4" s="7">
        <f>SQRT('Câbles A-R'!$D$6^2-'Câbles A-R'!$D$7^2)</f>
        <v>19.364916731037084</v>
      </c>
      <c r="AP4" s="7"/>
      <c r="AQ4" s="10"/>
    </row>
    <row r="5" spans="1:43" ht="12.75">
      <c r="A5" s="2"/>
      <c r="B5" s="2" t="s">
        <v>67</v>
      </c>
      <c r="C5" s="2"/>
      <c r="D5" s="2">
        <f>'Câbles A-R'!$D$7</f>
        <v>5</v>
      </c>
      <c r="E5" s="2">
        <f>-SQRT('Câbles A-R'!$D$6^2-'Câbles A-R'!$D$7^2)</f>
        <v>-19.364916731037084</v>
      </c>
      <c r="F5" s="2"/>
      <c r="G5" s="2"/>
      <c r="H5" s="2"/>
      <c r="I5" s="2"/>
      <c r="J5" s="2"/>
      <c r="K5" s="2"/>
      <c r="L5" s="6">
        <f>'Câbles A-R'!$D$7</f>
        <v>5</v>
      </c>
      <c r="M5" s="7">
        <f>-SQRT('Câbles A-R'!$D$6^2-'Câbles A-R'!$D$7^2)</f>
        <v>-19.364916731037084</v>
      </c>
      <c r="N5" s="7"/>
      <c r="O5" s="10"/>
      <c r="P5" s="6">
        <f>'Câbles A-R'!$D$7</f>
        <v>5</v>
      </c>
      <c r="Q5" s="7">
        <f>-SQRT('Câbles A-R'!$D$6^2-'Câbles A-R'!$D$7^2)</f>
        <v>-19.364916731037084</v>
      </c>
      <c r="R5" s="7"/>
      <c r="S5" s="10"/>
      <c r="T5" s="6">
        <f>'Câbles A-R'!$D$7</f>
        <v>5</v>
      </c>
      <c r="U5" s="7">
        <f>-SQRT('Câbles A-R'!$D$6^2-'Câbles A-R'!$D$7^2)</f>
        <v>-19.364916731037084</v>
      </c>
      <c r="V5" s="7"/>
      <c r="W5" s="10"/>
      <c r="X5" s="6">
        <f>'Câbles A-R'!$D$7</f>
        <v>5</v>
      </c>
      <c r="Y5" s="7">
        <f>-SQRT('Câbles A-R'!$D$6^2-'Câbles A-R'!$D$7^2)</f>
        <v>-19.364916731037084</v>
      </c>
      <c r="Z5" s="7"/>
      <c r="AA5" s="10"/>
      <c r="AB5" s="6">
        <f>'Câbles A-R'!$D$7</f>
        <v>5</v>
      </c>
      <c r="AC5" s="7">
        <f>-SQRT('Câbles A-R'!$D$6^2-'Câbles A-R'!$D$7^2)</f>
        <v>-19.364916731037084</v>
      </c>
      <c r="AD5" s="7"/>
      <c r="AE5" s="10"/>
      <c r="AF5" s="6">
        <f>'Câbles A-R'!$D$7</f>
        <v>5</v>
      </c>
      <c r="AG5" s="7">
        <f>-SQRT('Câbles A-R'!$D$6^2-'Câbles A-R'!$D$7^2)</f>
        <v>-19.364916731037084</v>
      </c>
      <c r="AH5" s="7"/>
      <c r="AI5" s="10"/>
      <c r="AJ5" s="6">
        <f>'Câbles A-R'!$D$7</f>
        <v>5</v>
      </c>
      <c r="AK5" s="7">
        <f>-SQRT('Câbles A-R'!$D$6^2-'Câbles A-R'!$D$7^2)</f>
        <v>-19.364916731037084</v>
      </c>
      <c r="AL5" s="7"/>
      <c r="AM5" s="10"/>
      <c r="AN5" s="6">
        <f>'Câbles A-R'!$D$7</f>
        <v>5</v>
      </c>
      <c r="AO5" s="7">
        <f>-SQRT('Câbles A-R'!$D$6^2-'Câbles A-R'!$D$7^2)</f>
        <v>-19.364916731037084</v>
      </c>
      <c r="AP5" s="7"/>
      <c r="AQ5" s="10"/>
    </row>
    <row r="6" spans="1:43" ht="12.75">
      <c r="A6" s="2"/>
      <c r="B6" s="2" t="s">
        <v>64</v>
      </c>
      <c r="C6" s="2"/>
      <c r="D6" s="2">
        <f>ACOS('Câbles A-R'!$D$7/'Câbles A-R'!$D$6)</f>
        <v>1.318116071652818</v>
      </c>
      <c r="E6" s="2"/>
      <c r="F6" s="2"/>
      <c r="G6" s="2"/>
      <c r="H6" s="2"/>
      <c r="I6" s="2"/>
      <c r="J6" s="2"/>
      <c r="K6" s="2"/>
      <c r="L6" s="6">
        <f>ACOS('Câbles A-R'!$D$7/'Câbles A-R'!$D$6)</f>
        <v>1.318116071652818</v>
      </c>
      <c r="M6" s="7"/>
      <c r="N6" s="7"/>
      <c r="O6" s="10"/>
      <c r="P6" s="6">
        <f>ACOS('Câbles A-R'!$D$7/'Câbles A-R'!$D$6)</f>
        <v>1.318116071652818</v>
      </c>
      <c r="Q6" s="7"/>
      <c r="R6" s="7"/>
      <c r="S6" s="10"/>
      <c r="T6" s="6">
        <f>ACOS('Câbles A-R'!$D$7/'Câbles A-R'!$D$6)</f>
        <v>1.318116071652818</v>
      </c>
      <c r="U6" s="7"/>
      <c r="V6" s="7"/>
      <c r="W6" s="10"/>
      <c r="X6" s="6">
        <f>ACOS('Câbles A-R'!$D$7/'Câbles A-R'!$D$6)</f>
        <v>1.318116071652818</v>
      </c>
      <c r="Y6" s="7"/>
      <c r="Z6" s="7"/>
      <c r="AA6" s="10"/>
      <c r="AB6" s="6">
        <f>ACOS('Câbles A-R'!$D$7/'Câbles A-R'!$D$6)</f>
        <v>1.318116071652818</v>
      </c>
      <c r="AC6" s="7"/>
      <c r="AD6" s="7"/>
      <c r="AE6" s="10"/>
      <c r="AF6" s="6">
        <f>ACOS('Câbles A-R'!$D$7/'Câbles A-R'!$D$6)</f>
        <v>1.318116071652818</v>
      </c>
      <c r="AG6" s="7"/>
      <c r="AH6" s="7"/>
      <c r="AI6" s="10"/>
      <c r="AJ6" s="6">
        <f>ACOS('Câbles A-R'!$D$7/'Câbles A-R'!$D$6)</f>
        <v>1.318116071652818</v>
      </c>
      <c r="AK6" s="7"/>
      <c r="AL6" s="7"/>
      <c r="AM6" s="10"/>
      <c r="AN6" s="6">
        <f>ACOS('Câbles A-R'!$D$7/'Câbles A-R'!$D$6)</f>
        <v>1.318116071652818</v>
      </c>
      <c r="AO6" s="7"/>
      <c r="AP6" s="7"/>
      <c r="AQ6" s="10"/>
    </row>
    <row r="7" spans="1:43" ht="12.75">
      <c r="A7" s="2"/>
      <c r="B7" s="2" t="s">
        <v>65</v>
      </c>
      <c r="C7" s="2"/>
      <c r="D7" s="2">
        <f>-D6</f>
        <v>-1.318116071652818</v>
      </c>
      <c r="E7" s="2"/>
      <c r="F7" s="2"/>
      <c r="G7" s="2"/>
      <c r="H7" s="2"/>
      <c r="I7" s="2"/>
      <c r="J7" s="2"/>
      <c r="K7" s="2"/>
      <c r="L7" s="6">
        <f>-L6</f>
        <v>-1.318116071652818</v>
      </c>
      <c r="M7" s="7"/>
      <c r="N7" s="7"/>
      <c r="O7" s="10"/>
      <c r="P7" s="6">
        <f>-P6</f>
        <v>-1.318116071652818</v>
      </c>
      <c r="Q7" s="7"/>
      <c r="R7" s="7"/>
      <c r="S7" s="10"/>
      <c r="T7" s="6">
        <f>-T6</f>
        <v>-1.318116071652818</v>
      </c>
      <c r="U7" s="7"/>
      <c r="V7" s="7"/>
      <c r="W7" s="10"/>
      <c r="X7" s="6">
        <f>-X6</f>
        <v>-1.318116071652818</v>
      </c>
      <c r="Y7" s="7"/>
      <c r="Z7" s="7"/>
      <c r="AA7" s="10"/>
      <c r="AB7" s="6">
        <f>-AB6</f>
        <v>-1.318116071652818</v>
      </c>
      <c r="AC7" s="7"/>
      <c r="AD7" s="7"/>
      <c r="AE7" s="10"/>
      <c r="AF7" s="6">
        <f>-AF6</f>
        <v>-1.318116071652818</v>
      </c>
      <c r="AG7" s="7"/>
      <c r="AH7" s="7"/>
      <c r="AI7" s="10"/>
      <c r="AJ7" s="6">
        <f>-AJ6</f>
        <v>-1.318116071652818</v>
      </c>
      <c r="AK7" s="7"/>
      <c r="AL7" s="7"/>
      <c r="AM7" s="10"/>
      <c r="AN7" s="6">
        <f>-AN6</f>
        <v>-1.318116071652818</v>
      </c>
      <c r="AO7" s="7"/>
      <c r="AP7" s="7"/>
      <c r="AQ7" s="10"/>
    </row>
    <row r="8" spans="1:43" ht="12.75">
      <c r="A8" s="2"/>
      <c r="B8" s="2" t="s">
        <v>62</v>
      </c>
      <c r="C8" s="2"/>
      <c r="D8" s="2">
        <f>'Câbles A-R'!$D$5</f>
        <v>500</v>
      </c>
      <c r="E8" s="2">
        <f>E3</f>
        <v>0</v>
      </c>
      <c r="F8" s="2"/>
      <c r="G8" s="2"/>
      <c r="H8" s="2"/>
      <c r="I8" s="2"/>
      <c r="J8" s="2"/>
      <c r="K8" s="2"/>
      <c r="L8" s="6">
        <f>'Câbles A-R'!$D$5</f>
        <v>500</v>
      </c>
      <c r="M8" s="7">
        <f>M3</f>
        <v>0</v>
      </c>
      <c r="N8" s="7"/>
      <c r="O8" s="10"/>
      <c r="P8" s="6">
        <f>'Câbles A-R'!$D$5</f>
        <v>500</v>
      </c>
      <c r="Q8" s="7">
        <f>Q3</f>
        <v>0</v>
      </c>
      <c r="R8" s="7"/>
      <c r="S8" s="10"/>
      <c r="T8" s="6">
        <f>'Câbles A-R'!$D$5</f>
        <v>500</v>
      </c>
      <c r="U8" s="7">
        <f>U3</f>
        <v>0</v>
      </c>
      <c r="V8" s="7"/>
      <c r="W8" s="10"/>
      <c r="X8" s="6">
        <f>'Câbles A-R'!$D$5</f>
        <v>500</v>
      </c>
      <c r="Y8" s="7">
        <f>Y3</f>
        <v>0</v>
      </c>
      <c r="Z8" s="7"/>
      <c r="AA8" s="10"/>
      <c r="AB8" s="6">
        <f>'Câbles A-R'!$D$5</f>
        <v>500</v>
      </c>
      <c r="AC8" s="7">
        <f>AC3</f>
        <v>0</v>
      </c>
      <c r="AD8" s="7"/>
      <c r="AE8" s="10"/>
      <c r="AF8" s="6">
        <f>'Câbles A-R'!$D$5</f>
        <v>500</v>
      </c>
      <c r="AG8" s="7">
        <f>AG3</f>
        <v>0</v>
      </c>
      <c r="AH8" s="7"/>
      <c r="AI8" s="10"/>
      <c r="AJ8" s="6">
        <f>'Câbles A-R'!$D$5</f>
        <v>500</v>
      </c>
      <c r="AK8" s="7">
        <f>AK3</f>
        <v>0</v>
      </c>
      <c r="AL8" s="7"/>
      <c r="AM8" s="10"/>
      <c r="AN8" s="6">
        <f>'Câbles A-R'!$D$5</f>
        <v>500</v>
      </c>
      <c r="AO8" s="7">
        <f>AO3</f>
        <v>0</v>
      </c>
      <c r="AP8" s="7"/>
      <c r="AQ8" s="10"/>
    </row>
    <row r="9" spans="1:43" ht="12.75">
      <c r="A9" s="2"/>
      <c r="B9" s="2" t="s">
        <v>70</v>
      </c>
      <c r="C9" s="2"/>
      <c r="D9" s="2">
        <f>'Câbles A-R'!$D$5+'Câbles A-R'!$D$9</f>
        <v>504</v>
      </c>
      <c r="E9" s="2">
        <f>SQRT('Câbles A-R'!$D$8^2-'Câbles A-R'!$D$9^2)</f>
        <v>29.732137494637012</v>
      </c>
      <c r="F9" s="2"/>
      <c r="G9" s="2"/>
      <c r="H9" s="2"/>
      <c r="I9" s="2"/>
      <c r="J9" s="2"/>
      <c r="K9" s="2"/>
      <c r="L9" s="6">
        <f>'Câbles A-R'!$D$5+'Câbles A-R'!$D$9</f>
        <v>504</v>
      </c>
      <c r="M9" s="7">
        <f>SQRT('Câbles A-R'!$D$8^2-'Câbles A-R'!$D$9^2)</f>
        <v>29.732137494637012</v>
      </c>
      <c r="N9" s="7"/>
      <c r="O9" s="10"/>
      <c r="P9" s="6">
        <f>'Câbles A-R'!$D$5+'Câbles A-R'!$D$9</f>
        <v>504</v>
      </c>
      <c r="Q9" s="7">
        <f>SQRT('Câbles A-R'!$D$8^2-'Câbles A-R'!$D$9^2)</f>
        <v>29.732137494637012</v>
      </c>
      <c r="R9" s="7"/>
      <c r="S9" s="10"/>
      <c r="T9" s="6">
        <f>'Câbles A-R'!$D$5+'Câbles A-R'!$D$9</f>
        <v>504</v>
      </c>
      <c r="U9" s="7">
        <f>SQRT('Câbles A-R'!$D$8^2-'Câbles A-R'!$D$9^2)</f>
        <v>29.732137494637012</v>
      </c>
      <c r="V9" s="7"/>
      <c r="W9" s="10"/>
      <c r="X9" s="6">
        <f>'Câbles A-R'!$D$5+'Câbles A-R'!$D$9</f>
        <v>504</v>
      </c>
      <c r="Y9" s="7">
        <f>SQRT('Câbles A-R'!$D$8^2-'Câbles A-R'!$D$9^2)</f>
        <v>29.732137494637012</v>
      </c>
      <c r="Z9" s="7"/>
      <c r="AA9" s="10"/>
      <c r="AB9" s="6">
        <f>'Câbles A-R'!$D$5+'Câbles A-R'!$D$9</f>
        <v>504</v>
      </c>
      <c r="AC9" s="7">
        <f>SQRT('Câbles A-R'!$D$8^2-'Câbles A-R'!$D$9^2)</f>
        <v>29.732137494637012</v>
      </c>
      <c r="AD9" s="7"/>
      <c r="AE9" s="10"/>
      <c r="AF9" s="6">
        <f>'Câbles A-R'!$D$5+'Câbles A-R'!$D$9</f>
        <v>504</v>
      </c>
      <c r="AG9" s="7">
        <f>SQRT('Câbles A-R'!$D$8^2-'Câbles A-R'!$D$9^2)</f>
        <v>29.732137494637012</v>
      </c>
      <c r="AH9" s="7"/>
      <c r="AI9" s="10"/>
      <c r="AJ9" s="6">
        <f>'Câbles A-R'!$D$5+'Câbles A-R'!$D$9</f>
        <v>504</v>
      </c>
      <c r="AK9" s="7">
        <f>SQRT('Câbles A-R'!$D$8^2-'Câbles A-R'!$D$9^2)</f>
        <v>29.732137494637012</v>
      </c>
      <c r="AL9" s="7"/>
      <c r="AM9" s="10"/>
      <c r="AN9" s="6">
        <f>'Câbles A-R'!$D$5+'Câbles A-R'!$D$9</f>
        <v>504</v>
      </c>
      <c r="AO9" s="7">
        <f>SQRT('Câbles A-R'!$D$8^2-'Câbles A-R'!$D$9^2)</f>
        <v>29.732137494637012</v>
      </c>
      <c r="AP9" s="7"/>
      <c r="AQ9" s="10"/>
    </row>
    <row r="10" spans="1:43" ht="12.75">
      <c r="A10" s="2"/>
      <c r="B10" s="2" t="s">
        <v>71</v>
      </c>
      <c r="C10" s="2"/>
      <c r="D10" s="2">
        <f>'Câbles A-R'!$D$5+'Câbles A-R'!$D$9</f>
        <v>504</v>
      </c>
      <c r="E10" s="2">
        <f>-SQRT('Câbles A-R'!$D$8^2-'Câbles A-R'!$D$9^2)</f>
        <v>-29.732137494637012</v>
      </c>
      <c r="F10" s="2"/>
      <c r="G10" s="2"/>
      <c r="H10" s="2"/>
      <c r="I10" s="2"/>
      <c r="J10" s="2"/>
      <c r="K10" s="2"/>
      <c r="L10" s="6">
        <f>'Câbles A-R'!$D$5+'Câbles A-R'!$D$9</f>
        <v>504</v>
      </c>
      <c r="M10" s="7">
        <f>-SQRT('Câbles A-R'!$D$8^2-'Câbles A-R'!$D$9^2)</f>
        <v>-29.732137494637012</v>
      </c>
      <c r="N10" s="7"/>
      <c r="O10" s="10"/>
      <c r="P10" s="6">
        <f>'Câbles A-R'!$D$5+'Câbles A-R'!$D$9</f>
        <v>504</v>
      </c>
      <c r="Q10" s="7">
        <f>-SQRT('Câbles A-R'!$D$8^2-'Câbles A-R'!$D$9^2)</f>
        <v>-29.732137494637012</v>
      </c>
      <c r="R10" s="7"/>
      <c r="S10" s="10"/>
      <c r="T10" s="6">
        <f>'Câbles A-R'!$D$5+'Câbles A-R'!$D$9</f>
        <v>504</v>
      </c>
      <c r="U10" s="7">
        <f>-SQRT('Câbles A-R'!$D$8^2-'Câbles A-R'!$D$9^2)</f>
        <v>-29.732137494637012</v>
      </c>
      <c r="V10" s="7"/>
      <c r="W10" s="10"/>
      <c r="X10" s="6">
        <f>'Câbles A-R'!$D$5+'Câbles A-R'!$D$9</f>
        <v>504</v>
      </c>
      <c r="Y10" s="7">
        <f>-SQRT('Câbles A-R'!$D$8^2-'Câbles A-R'!$D$9^2)</f>
        <v>-29.732137494637012</v>
      </c>
      <c r="Z10" s="7"/>
      <c r="AA10" s="10"/>
      <c r="AB10" s="6">
        <f>'Câbles A-R'!$D$5+'Câbles A-R'!$D$9</f>
        <v>504</v>
      </c>
      <c r="AC10" s="7">
        <f>-SQRT('Câbles A-R'!$D$8^2-'Câbles A-R'!$D$9^2)</f>
        <v>-29.732137494637012</v>
      </c>
      <c r="AD10" s="7"/>
      <c r="AE10" s="10"/>
      <c r="AF10" s="6">
        <f>'Câbles A-R'!$D$5+'Câbles A-R'!$D$9</f>
        <v>504</v>
      </c>
      <c r="AG10" s="7">
        <f>-SQRT('Câbles A-R'!$D$8^2-'Câbles A-R'!$D$9^2)</f>
        <v>-29.732137494637012</v>
      </c>
      <c r="AH10" s="7"/>
      <c r="AI10" s="10"/>
      <c r="AJ10" s="6">
        <f>'Câbles A-R'!$D$5+'Câbles A-R'!$D$9</f>
        <v>504</v>
      </c>
      <c r="AK10" s="7">
        <f>-SQRT('Câbles A-R'!$D$8^2-'Câbles A-R'!$D$9^2)</f>
        <v>-29.732137494637012</v>
      </c>
      <c r="AL10" s="7"/>
      <c r="AM10" s="10"/>
      <c r="AN10" s="6">
        <f>'Câbles A-R'!$D$5+'Câbles A-R'!$D$9</f>
        <v>504</v>
      </c>
      <c r="AO10" s="7">
        <f>-SQRT('Câbles A-R'!$D$8^2-'Câbles A-R'!$D$9^2)</f>
        <v>-29.732137494637012</v>
      </c>
      <c r="AP10" s="7"/>
      <c r="AQ10" s="10"/>
    </row>
    <row r="11" spans="1:43" ht="12.75">
      <c r="A11" s="2"/>
      <c r="B11" s="2" t="s">
        <v>73</v>
      </c>
      <c r="C11" s="2"/>
      <c r="D11" s="2">
        <f>ACOS('Câbles A-R'!$D$9/'Câbles A-R'!$D$8)</f>
        <v>1.437064737384955</v>
      </c>
      <c r="E11" s="2"/>
      <c r="F11" s="2"/>
      <c r="G11" s="2"/>
      <c r="H11" s="2"/>
      <c r="I11" s="2"/>
      <c r="J11" s="2"/>
      <c r="K11" s="2"/>
      <c r="L11" s="6">
        <f>ACOS('Câbles A-R'!$D$9/'Câbles A-R'!$D$8)</f>
        <v>1.437064737384955</v>
      </c>
      <c r="M11" s="7"/>
      <c r="N11" s="7"/>
      <c r="O11" s="10"/>
      <c r="P11" s="6">
        <f>ACOS('Câbles A-R'!$D$9/'Câbles A-R'!$D$8)</f>
        <v>1.437064737384955</v>
      </c>
      <c r="Q11" s="7"/>
      <c r="R11" s="7"/>
      <c r="S11" s="10"/>
      <c r="T11" s="6">
        <f>ACOS('Câbles A-R'!$D$9/'Câbles A-R'!$D$8)</f>
        <v>1.437064737384955</v>
      </c>
      <c r="U11" s="7"/>
      <c r="V11" s="7"/>
      <c r="W11" s="10"/>
      <c r="X11" s="6">
        <f>ACOS('Câbles A-R'!$D$9/'Câbles A-R'!$D$8)</f>
        <v>1.437064737384955</v>
      </c>
      <c r="Y11" s="7"/>
      <c r="Z11" s="7"/>
      <c r="AA11" s="10"/>
      <c r="AB11" s="6">
        <f>ACOS('Câbles A-R'!$D$9/'Câbles A-R'!$D$8)</f>
        <v>1.437064737384955</v>
      </c>
      <c r="AC11" s="7"/>
      <c r="AD11" s="7"/>
      <c r="AE11" s="10"/>
      <c r="AF11" s="6">
        <f>ACOS('Câbles A-R'!$D$9/'Câbles A-R'!$D$8)</f>
        <v>1.437064737384955</v>
      </c>
      <c r="AG11" s="7"/>
      <c r="AH11" s="7"/>
      <c r="AI11" s="10"/>
      <c r="AJ11" s="6">
        <f>ACOS('Câbles A-R'!$D$9/'Câbles A-R'!$D$8)</f>
        <v>1.437064737384955</v>
      </c>
      <c r="AK11" s="7"/>
      <c r="AL11" s="7"/>
      <c r="AM11" s="10"/>
      <c r="AN11" s="6">
        <f>ACOS('Câbles A-R'!$D$9/'Câbles A-R'!$D$8)</f>
        <v>1.437064737384955</v>
      </c>
      <c r="AO11" s="7"/>
      <c r="AP11" s="7"/>
      <c r="AQ11" s="10"/>
    </row>
    <row r="12" spans="1:43" ht="12.75">
      <c r="A12" s="2"/>
      <c r="B12" s="2" t="s">
        <v>72</v>
      </c>
      <c r="C12" s="2"/>
      <c r="D12" s="2">
        <f>-D11</f>
        <v>-1.437064737384955</v>
      </c>
      <c r="E12" s="2"/>
      <c r="F12" s="2"/>
      <c r="G12" s="2"/>
      <c r="H12" s="2"/>
      <c r="I12" s="2"/>
      <c r="J12" s="2"/>
      <c r="K12" s="2"/>
      <c r="L12" s="6">
        <f>-L11</f>
        <v>-1.437064737384955</v>
      </c>
      <c r="M12" s="7"/>
      <c r="N12" s="7"/>
      <c r="O12" s="10"/>
      <c r="P12" s="6">
        <f>-P11</f>
        <v>-1.437064737384955</v>
      </c>
      <c r="Q12" s="7"/>
      <c r="R12" s="7"/>
      <c r="S12" s="10"/>
      <c r="T12" s="6">
        <f>-T11</f>
        <v>-1.437064737384955</v>
      </c>
      <c r="U12" s="7"/>
      <c r="V12" s="7"/>
      <c r="W12" s="10"/>
      <c r="X12" s="6">
        <f>-X11</f>
        <v>-1.437064737384955</v>
      </c>
      <c r="Y12" s="7"/>
      <c r="Z12" s="7"/>
      <c r="AA12" s="10"/>
      <c r="AB12" s="6">
        <f>-AB11</f>
        <v>-1.437064737384955</v>
      </c>
      <c r="AC12" s="7"/>
      <c r="AD12" s="7"/>
      <c r="AE12" s="10"/>
      <c r="AF12" s="6">
        <f>-AF11</f>
        <v>-1.437064737384955</v>
      </c>
      <c r="AG12" s="7"/>
      <c r="AH12" s="7"/>
      <c r="AI12" s="10"/>
      <c r="AJ12" s="6">
        <f>-AJ11</f>
        <v>-1.437064737384955</v>
      </c>
      <c r="AK12" s="7"/>
      <c r="AL12" s="7"/>
      <c r="AM12" s="10"/>
      <c r="AN12" s="6">
        <f>-AN11</f>
        <v>-1.437064737384955</v>
      </c>
      <c r="AO12" s="7"/>
      <c r="AP12" s="7"/>
      <c r="AQ12" s="10"/>
    </row>
    <row r="13" spans="1:43" ht="12.75">
      <c r="A13" s="2"/>
      <c r="B13" s="2" t="s">
        <v>68</v>
      </c>
      <c r="C13" s="2"/>
      <c r="D13" s="2">
        <f>RADIANS('Câbles A-R'!$D$11)</f>
        <v>0</v>
      </c>
      <c r="E13" s="2"/>
      <c r="F13" s="2"/>
      <c r="G13" s="2"/>
      <c r="H13" s="2"/>
      <c r="I13" s="2"/>
      <c r="J13" s="2"/>
      <c r="K13" s="2"/>
      <c r="L13" s="6">
        <f>RADIANS('Câbles A-R'!$D$11)</f>
        <v>0</v>
      </c>
      <c r="M13" s="7"/>
      <c r="N13" s="7"/>
      <c r="O13" s="10"/>
      <c r="P13" s="6">
        <f>RADIANS('Câbles A-R'!$D$11)</f>
        <v>0</v>
      </c>
      <c r="Q13" s="7"/>
      <c r="R13" s="7"/>
      <c r="S13" s="10"/>
      <c r="T13" s="6">
        <f>RADIANS('Câbles A-R'!$D$11)</f>
        <v>0</v>
      </c>
      <c r="U13" s="7"/>
      <c r="V13" s="7"/>
      <c r="W13" s="10"/>
      <c r="X13" s="6">
        <f>RADIANS('Câbles A-R'!$D$11)</f>
        <v>0</v>
      </c>
      <c r="Y13" s="7"/>
      <c r="Z13" s="7"/>
      <c r="AA13" s="10"/>
      <c r="AB13" s="6">
        <f>RADIANS('Câbles A-R'!$D$11)</f>
        <v>0</v>
      </c>
      <c r="AC13" s="7"/>
      <c r="AD13" s="7"/>
      <c r="AE13" s="10"/>
      <c r="AF13" s="6">
        <f>RADIANS('Câbles A-R'!$D$11)</f>
        <v>0</v>
      </c>
      <c r="AG13" s="7"/>
      <c r="AH13" s="7"/>
      <c r="AI13" s="10"/>
      <c r="AJ13" s="6">
        <f>RADIANS('Câbles A-R'!$D$11)</f>
        <v>0</v>
      </c>
      <c r="AK13" s="7"/>
      <c r="AL13" s="7"/>
      <c r="AM13" s="10"/>
      <c r="AN13" s="6">
        <f>RADIANS('Câbles A-R'!$D$11)</f>
        <v>0</v>
      </c>
      <c r="AO13" s="7"/>
      <c r="AP13" s="7"/>
      <c r="AQ13" s="10"/>
    </row>
    <row r="14" spans="1:43" ht="12.75">
      <c r="A14" s="2"/>
      <c r="B14" s="2" t="s">
        <v>82</v>
      </c>
      <c r="C14" s="2"/>
      <c r="D14" s="2">
        <f>D11-D13</f>
        <v>1.437064737384955</v>
      </c>
      <c r="E14" s="2"/>
      <c r="F14" s="2"/>
      <c r="G14" s="2"/>
      <c r="H14" s="2"/>
      <c r="I14" s="2"/>
      <c r="J14" s="2"/>
      <c r="K14" s="2"/>
      <c r="L14" s="6">
        <f>L11-L13</f>
        <v>1.437064737384955</v>
      </c>
      <c r="M14" s="7"/>
      <c r="N14" s="7"/>
      <c r="O14" s="10"/>
      <c r="P14" s="6">
        <f>P11-P13</f>
        <v>1.437064737384955</v>
      </c>
      <c r="Q14" s="7"/>
      <c r="R14" s="7"/>
      <c r="S14" s="10"/>
      <c r="T14" s="6">
        <f>T11-T13</f>
        <v>1.437064737384955</v>
      </c>
      <c r="U14" s="7"/>
      <c r="V14" s="7"/>
      <c r="W14" s="10"/>
      <c r="X14" s="6">
        <f>X11-X13</f>
        <v>1.437064737384955</v>
      </c>
      <c r="Y14" s="7"/>
      <c r="Z14" s="7"/>
      <c r="AA14" s="10"/>
      <c r="AB14" s="6">
        <f>AB11-AB13</f>
        <v>1.437064737384955</v>
      </c>
      <c r="AC14" s="7"/>
      <c r="AD14" s="7"/>
      <c r="AE14" s="10"/>
      <c r="AF14" s="6">
        <f>AF11-AF13</f>
        <v>1.437064737384955</v>
      </c>
      <c r="AG14" s="7"/>
      <c r="AH14" s="7"/>
      <c r="AI14" s="10"/>
      <c r="AJ14" s="6">
        <f>AJ11-AJ13</f>
        <v>1.437064737384955</v>
      </c>
      <c r="AK14" s="7"/>
      <c r="AL14" s="7"/>
      <c r="AM14" s="10"/>
      <c r="AN14" s="6">
        <f>AN11-AN13</f>
        <v>1.437064737384955</v>
      </c>
      <c r="AO14" s="7"/>
      <c r="AP14" s="7"/>
      <c r="AQ14" s="10"/>
    </row>
    <row r="15" spans="1:43" ht="12.75">
      <c r="A15" s="2"/>
      <c r="B15" s="2" t="s">
        <v>98</v>
      </c>
      <c r="C15" s="2"/>
      <c r="D15" s="2">
        <f>D12-D13</f>
        <v>-1.437064737384955</v>
      </c>
      <c r="E15" s="2"/>
      <c r="F15" s="2"/>
      <c r="G15" s="2"/>
      <c r="H15" s="2"/>
      <c r="I15" s="2"/>
      <c r="J15" s="2"/>
      <c r="K15" s="2"/>
      <c r="L15" s="6">
        <f>L12-L13</f>
        <v>-1.437064737384955</v>
      </c>
      <c r="M15" s="7"/>
      <c r="N15" s="7"/>
      <c r="O15" s="10"/>
      <c r="P15" s="6">
        <f>P12-P13</f>
        <v>-1.437064737384955</v>
      </c>
      <c r="Q15" s="7"/>
      <c r="R15" s="7"/>
      <c r="S15" s="10"/>
      <c r="T15" s="6">
        <f>T12-T13</f>
        <v>-1.437064737384955</v>
      </c>
      <c r="U15" s="7"/>
      <c r="V15" s="7"/>
      <c r="W15" s="10"/>
      <c r="X15" s="6">
        <f>X12-X13</f>
        <v>-1.437064737384955</v>
      </c>
      <c r="Y15" s="7"/>
      <c r="Z15" s="7"/>
      <c r="AA15" s="10"/>
      <c r="AB15" s="6">
        <f>AB12-AB13</f>
        <v>-1.437064737384955</v>
      </c>
      <c r="AC15" s="7"/>
      <c r="AD15" s="7"/>
      <c r="AE15" s="10"/>
      <c r="AF15" s="6">
        <f>AF12-AF13</f>
        <v>-1.437064737384955</v>
      </c>
      <c r="AG15" s="7"/>
      <c r="AH15" s="7"/>
      <c r="AI15" s="10"/>
      <c r="AJ15" s="6">
        <f>AJ12-AJ13</f>
        <v>-1.437064737384955</v>
      </c>
      <c r="AK15" s="7"/>
      <c r="AL15" s="7"/>
      <c r="AM15" s="10"/>
      <c r="AN15" s="6">
        <f>AN12-AN13</f>
        <v>-1.437064737384955</v>
      </c>
      <c r="AO15" s="7"/>
      <c r="AP15" s="7"/>
      <c r="AQ15" s="10"/>
    </row>
    <row r="16" spans="1:43" ht="12.75">
      <c r="A16" s="2"/>
      <c r="B16" s="2" t="s">
        <v>63</v>
      </c>
      <c r="C16" s="2"/>
      <c r="D16" s="2">
        <f>'Câbles A-R'!$D$5+'Câbles A-R'!$D$10*COS(D13)</f>
        <v>570</v>
      </c>
      <c r="E16" s="2">
        <f>'Câbles A-R'!$D$10*SIN(D13)</f>
        <v>0</v>
      </c>
      <c r="F16" s="2"/>
      <c r="G16" s="2"/>
      <c r="H16" s="2"/>
      <c r="I16" s="2"/>
      <c r="J16" s="2"/>
      <c r="K16" s="2"/>
      <c r="L16" s="6">
        <f>'Câbles A-R'!$D$5+'Câbles A-R'!$D$10*COS(L13)</f>
        <v>570</v>
      </c>
      <c r="M16" s="7">
        <f>'Câbles A-R'!$D$10*SIN(L13)</f>
        <v>0</v>
      </c>
      <c r="N16" s="7"/>
      <c r="O16" s="10"/>
      <c r="P16" s="6">
        <f>'Câbles A-R'!$D$5+'Câbles A-R'!$D$10*COS(P13)</f>
        <v>570</v>
      </c>
      <c r="Q16" s="7">
        <f>'Câbles A-R'!$D$10*SIN(P13)</f>
        <v>0</v>
      </c>
      <c r="R16" s="7"/>
      <c r="S16" s="10"/>
      <c r="T16" s="6">
        <f>'Câbles A-R'!$D$5+'Câbles A-R'!$D$10*COS(T13)</f>
        <v>570</v>
      </c>
      <c r="U16" s="7">
        <f>'Câbles A-R'!$D$10*SIN(T13)</f>
        <v>0</v>
      </c>
      <c r="V16" s="7"/>
      <c r="W16" s="10"/>
      <c r="X16" s="6">
        <f>'Câbles A-R'!$D$5+'Câbles A-R'!$D$10*COS(X13)</f>
        <v>570</v>
      </c>
      <c r="Y16" s="7">
        <f>'Câbles A-R'!$D$10*SIN(X13)</f>
        <v>0</v>
      </c>
      <c r="Z16" s="7"/>
      <c r="AA16" s="10"/>
      <c r="AB16" s="6">
        <f>'Câbles A-R'!$D$5+'Câbles A-R'!$D$10*COS(AB13)</f>
        <v>570</v>
      </c>
      <c r="AC16" s="7">
        <f>'Câbles A-R'!$D$10*SIN(AB13)</f>
        <v>0</v>
      </c>
      <c r="AD16" s="7"/>
      <c r="AE16" s="10"/>
      <c r="AF16" s="6">
        <f>'Câbles A-R'!$D$5+'Câbles A-R'!$D$10*COS(AF13)</f>
        <v>570</v>
      </c>
      <c r="AG16" s="7">
        <f>'Câbles A-R'!$D$10*SIN(AF13)</f>
        <v>0</v>
      </c>
      <c r="AH16" s="7"/>
      <c r="AI16" s="10"/>
      <c r="AJ16" s="6">
        <f>'Câbles A-R'!$D$5+'Câbles A-R'!$D$10*COS(AJ13)</f>
        <v>570</v>
      </c>
      <c r="AK16" s="7">
        <f>'Câbles A-R'!$D$10*SIN(AJ13)</f>
        <v>0</v>
      </c>
      <c r="AL16" s="7"/>
      <c r="AM16" s="10"/>
      <c r="AN16" s="6">
        <f>'Câbles A-R'!$D$5+'Câbles A-R'!$D$10*COS(AN13)</f>
        <v>570</v>
      </c>
      <c r="AO16" s="7">
        <f>'Câbles A-R'!$D$10*SIN(AN13)</f>
        <v>0</v>
      </c>
      <c r="AP16" s="7"/>
      <c r="AQ16" s="10"/>
    </row>
    <row r="17" spans="1:43" ht="12.75">
      <c r="A17" s="2"/>
      <c r="B17" s="2" t="s">
        <v>69</v>
      </c>
      <c r="C17" s="2"/>
      <c r="D17" s="2">
        <f>SQRT((D4-D9)^2+(E4-E9)^2)</f>
        <v>499.1076830367984</v>
      </c>
      <c r="E17" s="2"/>
      <c r="F17" s="2"/>
      <c r="G17" s="2"/>
      <c r="H17" s="2"/>
      <c r="I17" s="2"/>
      <c r="J17" s="2"/>
      <c r="K17" s="2"/>
      <c r="L17" s="6">
        <f>SQRT((L4-L9)^2+(M4-M9)^2)</f>
        <v>499.1076830367984</v>
      </c>
      <c r="M17" s="7"/>
      <c r="N17" s="7"/>
      <c r="O17" s="10"/>
      <c r="P17" s="6">
        <f>SQRT((P4-P9)^2+(Q4-Q9)^2)</f>
        <v>499.1076830367984</v>
      </c>
      <c r="Q17" s="7"/>
      <c r="R17" s="7"/>
      <c r="S17" s="10"/>
      <c r="T17" s="6">
        <f>SQRT((T4-T9)^2+(U4-U9)^2)</f>
        <v>499.1076830367984</v>
      </c>
      <c r="U17" s="7"/>
      <c r="V17" s="7"/>
      <c r="W17" s="10"/>
      <c r="X17" s="6">
        <f>SQRT((X4-X9)^2+(Y4-Y9)^2)</f>
        <v>499.1076830367984</v>
      </c>
      <c r="Y17" s="7"/>
      <c r="Z17" s="7"/>
      <c r="AA17" s="10"/>
      <c r="AB17" s="6">
        <f>SQRT((AB4-AB9)^2+(AC4-AC9)^2)</f>
        <v>499.1076830367984</v>
      </c>
      <c r="AC17" s="7"/>
      <c r="AD17" s="7"/>
      <c r="AE17" s="10"/>
      <c r="AF17" s="6">
        <f>SQRT((AF4-AF9)^2+(AG4-AG9)^2)</f>
        <v>499.1076830367984</v>
      </c>
      <c r="AG17" s="7"/>
      <c r="AH17" s="7"/>
      <c r="AI17" s="10"/>
      <c r="AJ17" s="6">
        <f>SQRT((AJ4-AJ9)^2+(AK4-AK9)^2)</f>
        <v>499.1076830367984</v>
      </c>
      <c r="AK17" s="7"/>
      <c r="AL17" s="7"/>
      <c r="AM17" s="10"/>
      <c r="AN17" s="6">
        <f>SQRT((AN4-AN9)^2+(AO4-AO9)^2)</f>
        <v>499.1076830367984</v>
      </c>
      <c r="AO17" s="7"/>
      <c r="AP17" s="7"/>
      <c r="AQ17" s="10"/>
    </row>
    <row r="18" spans="1:4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6"/>
      <c r="M18" s="7"/>
      <c r="N18" s="7"/>
      <c r="O18" s="10"/>
      <c r="P18" s="6"/>
      <c r="Q18" s="7"/>
      <c r="R18" s="7"/>
      <c r="S18" s="10"/>
      <c r="T18" s="6"/>
      <c r="U18" s="7"/>
      <c r="V18" s="7"/>
      <c r="W18" s="10"/>
      <c r="X18" s="6"/>
      <c r="Y18" s="7"/>
      <c r="Z18" s="7"/>
      <c r="AA18" s="10"/>
      <c r="AB18" s="6"/>
      <c r="AC18" s="7"/>
      <c r="AD18" s="7"/>
      <c r="AE18" s="10"/>
      <c r="AF18" s="6"/>
      <c r="AG18" s="7"/>
      <c r="AH18" s="7"/>
      <c r="AI18" s="10"/>
      <c r="AJ18" s="6"/>
      <c r="AK18" s="7"/>
      <c r="AL18" s="7"/>
      <c r="AM18" s="10"/>
      <c r="AN18" s="6"/>
      <c r="AO18" s="7"/>
      <c r="AP18" s="7"/>
      <c r="AQ18" s="10"/>
    </row>
    <row r="19" spans="1:43" ht="12.75">
      <c r="A19" s="2"/>
      <c r="B19" s="1" t="s">
        <v>74</v>
      </c>
      <c r="C19" s="2"/>
      <c r="D19" s="2"/>
      <c r="E19" s="2"/>
      <c r="F19" s="2"/>
      <c r="G19" s="1" t="s">
        <v>87</v>
      </c>
      <c r="H19" s="2"/>
      <c r="I19" s="2"/>
      <c r="J19" s="2"/>
      <c r="K19" s="2"/>
      <c r="L19" s="6"/>
      <c r="M19" s="7"/>
      <c r="N19" s="7"/>
      <c r="O19" s="10"/>
      <c r="P19" s="6"/>
      <c r="Q19" s="7"/>
      <c r="R19" s="7"/>
      <c r="S19" s="10"/>
      <c r="T19" s="6"/>
      <c r="U19" s="7"/>
      <c r="V19" s="7"/>
      <c r="W19" s="10"/>
      <c r="X19" s="6"/>
      <c r="Y19" s="7"/>
      <c r="Z19" s="7"/>
      <c r="AA19" s="10"/>
      <c r="AB19" s="6"/>
      <c r="AC19" s="7"/>
      <c r="AD19" s="7"/>
      <c r="AE19" s="10"/>
      <c r="AF19" s="6"/>
      <c r="AG19" s="7"/>
      <c r="AH19" s="7"/>
      <c r="AI19" s="10"/>
      <c r="AJ19" s="6"/>
      <c r="AK19" s="7"/>
      <c r="AL19" s="7"/>
      <c r="AM19" s="10"/>
      <c r="AN19" s="6"/>
      <c r="AO19" s="7"/>
      <c r="AP19" s="7"/>
      <c r="AQ19" s="10"/>
    </row>
    <row r="20" spans="1:43" ht="12.75">
      <c r="A20" s="2"/>
      <c r="B20" s="2" t="s">
        <v>75</v>
      </c>
      <c r="C20" s="2"/>
      <c r="D20" s="2">
        <f>$D$6+RADIANS('Câbles A-R'!$D$12)</f>
        <v>2.0162477724505496</v>
      </c>
      <c r="E20" s="2"/>
      <c r="F20" s="2"/>
      <c r="G20" s="2" t="s">
        <v>88</v>
      </c>
      <c r="H20" s="2"/>
      <c r="I20" s="2">
        <f>$D$6-RADIANS('Câbles A-R'!$D$12)</f>
        <v>0.6199843708550862</v>
      </c>
      <c r="J20" s="2"/>
      <c r="K20" s="2"/>
      <c r="L20" s="6">
        <f>$D$6+RADIANS(ABS($H$38))</f>
        <v>2.0162477724505496</v>
      </c>
      <c r="M20" s="7"/>
      <c r="N20" s="7">
        <f>$D$6-RADIANS(ABS($H$38))</f>
        <v>0.6199843708550862</v>
      </c>
      <c r="O20" s="10"/>
      <c r="P20" s="6">
        <f>$D$6+RADIANS(ABS($H$39))</f>
        <v>1.9289813098508333</v>
      </c>
      <c r="Q20" s="7"/>
      <c r="R20" s="7">
        <f>$D$6-RADIANS(ABS($H$39))</f>
        <v>0.7072508334548027</v>
      </c>
      <c r="S20" s="10"/>
      <c r="T20" s="6">
        <f>$D$6+RADIANS(ABS($H$40))</f>
        <v>1.841714847251117</v>
      </c>
      <c r="U20" s="7"/>
      <c r="V20" s="7">
        <f>$D$6-RADIANS(ABS($H$40))</f>
        <v>0.7945172960545192</v>
      </c>
      <c r="W20" s="10"/>
      <c r="X20" s="6">
        <f>$D$6+RADIANS(ABS($H$41))</f>
        <v>1.7544483846514003</v>
      </c>
      <c r="Y20" s="7"/>
      <c r="Z20" s="7">
        <f>$D$6-RADIANS(ABS($H$41))</f>
        <v>0.8817837586542356</v>
      </c>
      <c r="AA20" s="10"/>
      <c r="AB20" s="6">
        <f>$D$6+RADIANS(ABS($H$42))</f>
        <v>1.667181922051684</v>
      </c>
      <c r="AC20" s="7"/>
      <c r="AD20" s="7">
        <f>$D$6-RADIANS(ABS($H$42))</f>
        <v>0.969050221253952</v>
      </c>
      <c r="AE20" s="10"/>
      <c r="AF20" s="6">
        <f>$D$6+RADIANS(ABS($H$43))</f>
        <v>1.5799154594519673</v>
      </c>
      <c r="AG20" s="7"/>
      <c r="AH20" s="7">
        <f>$D$6-RADIANS(ABS($H$43))</f>
        <v>1.0563166838536686</v>
      </c>
      <c r="AI20" s="10"/>
      <c r="AJ20" s="6">
        <f>$D$6+RADIANS(ABS($H$44))</f>
        <v>1.492648996852251</v>
      </c>
      <c r="AK20" s="7"/>
      <c r="AL20" s="7">
        <f>$D$6-RADIANS(ABS($H$44))</f>
        <v>1.143583146453385</v>
      </c>
      <c r="AM20" s="10"/>
      <c r="AN20" s="6">
        <f>$D$6+RADIANS(ABS($H$45))</f>
        <v>1.4053825342525343</v>
      </c>
      <c r="AO20" s="7"/>
      <c r="AP20" s="7">
        <f>$D$6-RADIANS(ABS($H$45))</f>
        <v>1.2308496090531016</v>
      </c>
      <c r="AQ20" s="10"/>
    </row>
    <row r="21" spans="1:43" ht="12.75">
      <c r="A21" s="2"/>
      <c r="B21" s="2" t="s">
        <v>76</v>
      </c>
      <c r="C21" s="2"/>
      <c r="D21" s="2">
        <f>$D$7+RADIANS('Câbles A-R'!$D$12)</f>
        <v>-0.6199843708550862</v>
      </c>
      <c r="E21" s="2"/>
      <c r="F21" s="2"/>
      <c r="G21" s="2" t="s">
        <v>89</v>
      </c>
      <c r="H21" s="2"/>
      <c r="I21" s="2">
        <f>$D$7-RADIANS('Câbles A-R'!$D$12)</f>
        <v>-2.0162477724505496</v>
      </c>
      <c r="J21" s="2"/>
      <c r="K21" s="2"/>
      <c r="L21" s="2">
        <f>$D$7+RADIANS(ABS($H$38))</f>
        <v>-0.6199843708550862</v>
      </c>
      <c r="M21" s="7"/>
      <c r="N21" s="2">
        <f>$D$7-RADIANS(ABS($H$38))</f>
        <v>-2.0162477724505496</v>
      </c>
      <c r="O21" s="10"/>
      <c r="P21" s="2">
        <f>$D$7+RADIANS(ABS($H$39))</f>
        <v>-0.7072508334548027</v>
      </c>
      <c r="Q21" s="7"/>
      <c r="R21" s="2">
        <f>$D$7-RADIANS(ABS($H$39))</f>
        <v>-1.9289813098508333</v>
      </c>
      <c r="S21" s="10"/>
      <c r="T21" s="2">
        <f>$D$7+RADIANS(ABS($H$40))</f>
        <v>-0.7945172960545192</v>
      </c>
      <c r="U21" s="7"/>
      <c r="V21" s="2">
        <f>$D$7-RADIANS(ABS($H$40))</f>
        <v>-1.841714847251117</v>
      </c>
      <c r="W21" s="10"/>
      <c r="X21" s="2">
        <f>$D$7+RADIANS(ABS($H$41))</f>
        <v>-0.8817837586542356</v>
      </c>
      <c r="Y21" s="7"/>
      <c r="Z21" s="2">
        <f>$D$7-RADIANS(ABS($H$41))</f>
        <v>-1.7544483846514003</v>
      </c>
      <c r="AA21" s="10"/>
      <c r="AB21" s="2">
        <f>$D$7+RADIANS(ABS($H$42))</f>
        <v>-0.969050221253952</v>
      </c>
      <c r="AC21" s="7"/>
      <c r="AD21" s="2">
        <f>$D$7-RADIANS(ABS($H$42))</f>
        <v>-1.667181922051684</v>
      </c>
      <c r="AE21" s="10"/>
      <c r="AF21" s="2">
        <f>$D$7+RADIANS(ABS($H$43))</f>
        <v>-1.0563166838536686</v>
      </c>
      <c r="AG21" s="7"/>
      <c r="AH21" s="2">
        <f>$D$7-RADIANS(ABS($H$43))</f>
        <v>-1.5799154594519673</v>
      </c>
      <c r="AI21" s="10"/>
      <c r="AJ21" s="2">
        <f>$D$7+RADIANS(ABS($H$44))</f>
        <v>-1.143583146453385</v>
      </c>
      <c r="AK21" s="7"/>
      <c r="AL21" s="2">
        <f>$D$7-RADIANS(ABS($H$44))</f>
        <v>-1.492648996852251</v>
      </c>
      <c r="AM21" s="10"/>
      <c r="AN21" s="2">
        <f>$D$7+RADIANS(ABS($H$45))</f>
        <v>-1.2308496090531016</v>
      </c>
      <c r="AO21" s="7"/>
      <c r="AP21" s="2">
        <f>$D$7-RADIANS(ABS($H$45))</f>
        <v>-1.4053825342525343</v>
      </c>
      <c r="AQ21" s="10"/>
    </row>
    <row r="22" spans="1:43" ht="12.75">
      <c r="A22" s="2"/>
      <c r="B22" s="2" t="s">
        <v>77</v>
      </c>
      <c r="C22" s="2"/>
      <c r="D22" s="2">
        <f>'Câbles A-R'!$D$6*COS(D20)</f>
        <v>-8.617306321727307</v>
      </c>
      <c r="E22" s="2">
        <f>'Câbles A-R'!$D$6*SIN(D20)</f>
        <v>18.04832490170538</v>
      </c>
      <c r="F22" s="2"/>
      <c r="G22" s="2" t="s">
        <v>90</v>
      </c>
      <c r="H22" s="2"/>
      <c r="I22" s="2">
        <f>'Câbles A-R'!$D$6*COS(I20)</f>
        <v>16.27775075291709</v>
      </c>
      <c r="J22" s="2">
        <f>'Câbles A-R'!$D$6*SIN(I20)</f>
        <v>11.620448804839988</v>
      </c>
      <c r="K22" s="2"/>
      <c r="L22" s="6">
        <f>'Câbles A-R'!$D$6*COS(L20)</f>
        <v>-8.617306321727307</v>
      </c>
      <c r="M22" s="7">
        <f>'Câbles A-R'!$D$6*SIN(L20)</f>
        <v>18.04832490170538</v>
      </c>
      <c r="N22" s="7">
        <f>'Câbles A-R'!$D$6*COS(N20)</f>
        <v>16.27775075291709</v>
      </c>
      <c r="O22" s="10">
        <f>'Câbles A-R'!$D$6*SIN(N20)</f>
        <v>11.620448804839988</v>
      </c>
      <c r="P22" s="6">
        <f>'Câbles A-R'!$D$6*COS(P20)</f>
        <v>-7.01149970737804</v>
      </c>
      <c r="Q22" s="7">
        <f>'Câbles A-R'!$D$6*SIN(P20)</f>
        <v>18.730693309470357</v>
      </c>
      <c r="R22" s="7">
        <f>'Câbles A-R'!$D$6*COS(R20)</f>
        <v>15.203020150267958</v>
      </c>
      <c r="S22" s="10">
        <f>'Câbles A-R'!$D$6*SIN(R20)</f>
        <v>12.994928945959899</v>
      </c>
      <c r="T22" s="6">
        <f>'Câbles A-R'!$D$6*COS(T20)</f>
        <v>-5.352331346596349</v>
      </c>
      <c r="U22" s="7">
        <f>'Câbles A-R'!$D$6*SIN(T20)</f>
        <v>19.270509831248425</v>
      </c>
      <c r="V22" s="7">
        <f>'Câbles A-R'!$D$6*COS(V20)</f>
        <v>14.012585384440735</v>
      </c>
      <c r="W22" s="10">
        <f>'Câbles A-R'!$D$6*SIN(V20)</f>
        <v>14.270509831248424</v>
      </c>
      <c r="X22" s="6">
        <f>'Câbles A-R'!$D$6*COS(X20)</f>
        <v>-3.6524285124410296</v>
      </c>
      <c r="Y22" s="7">
        <f>'Câbles A-R'!$D$6*SIN(X20)</f>
        <v>19.663666137358714</v>
      </c>
      <c r="Z22" s="7">
        <f>'Câbles A-R'!$D$6*COS(Z20)</f>
        <v>12.71550638280753</v>
      </c>
      <c r="AA22" s="10">
        <f>'Câbles A-R'!$D$6*SIN(Z20)</f>
        <v>15.437483519951723</v>
      </c>
      <c r="AB22" s="6">
        <f>'Câbles A-R'!$D$6*COS(AB20)</f>
        <v>-1.924728491909403</v>
      </c>
      <c r="AC22" s="7">
        <f>'Câbles A-R'!$D$6*SIN(AB20)</f>
        <v>19.907170070917466</v>
      </c>
      <c r="AD22" s="7">
        <f>'Câbles A-R'!$D$6*COS(AD20)</f>
        <v>11.321654699768487</v>
      </c>
      <c r="AE22" s="10">
        <f>'Câbles A-R'!$D$6*SIN(AD20)</f>
        <v>16.48696863766078</v>
      </c>
      <c r="AF22" s="6">
        <f>'Câbles A-R'!$D$6*COS(AF20)</f>
        <v>-0.18238012537150297</v>
      </c>
      <c r="AG22" s="7">
        <f>'Câbles A-R'!$D$6*SIN(AF20)</f>
        <v>19.9991684199586</v>
      </c>
      <c r="AH22" s="7">
        <f>'Câbles A-R'!$D$6*COS(AH20)</f>
        <v>9.841638388262187</v>
      </c>
      <c r="AI22" s="10">
        <f>'Câbles A-R'!$D$6*SIN(AH20)</f>
        <v>17.410977968933395</v>
      </c>
      <c r="AJ22" s="6">
        <f>'Câbles A-R'!$D$6*COS(AJ20)</f>
        <v>1.5613562640446002</v>
      </c>
      <c r="AK22" s="7">
        <f>'Câbles A-R'!$D$6*SIN(AJ20)</f>
        <v>19.938961021495796</v>
      </c>
      <c r="AL22" s="7">
        <f>'Câbles A-R'!$D$6*COS(AL20)</f>
        <v>8.28672126607748</v>
      </c>
      <c r="AM22" s="10">
        <f>'Câbles A-R'!$D$6*SIN(AL20)</f>
        <v>18.202479244826492</v>
      </c>
      <c r="AN22" s="6">
        <f>'Câbles A-R'!$D$6*COS(AN20)</f>
        <v>3.29320978951864</v>
      </c>
      <c r="AO22" s="7">
        <f>'Câbles A-R'!$D$6*SIN(AN20)</f>
        <v>19.72700609018557</v>
      </c>
      <c r="AP22" s="7">
        <f>'Câbles A-R'!$D$6*COS(AP20)</f>
        <v>6.668737191398816</v>
      </c>
      <c r="AQ22" s="10">
        <f>'Câbles A-R'!$D$6*SIN(AP20)</f>
        <v>18.855448662708987</v>
      </c>
    </row>
    <row r="23" spans="1:43" ht="12.75">
      <c r="A23" s="2"/>
      <c r="B23" s="2" t="s">
        <v>78</v>
      </c>
      <c r="C23" s="2"/>
      <c r="D23" s="2">
        <f>'Câbles A-R'!$D$6*COS(D21)</f>
        <v>16.27775075291709</v>
      </c>
      <c r="E23" s="2">
        <f>'Câbles A-R'!$D$6*SIN(D21)</f>
        <v>-11.620448804839988</v>
      </c>
      <c r="F23" s="2"/>
      <c r="G23" s="2" t="s">
        <v>91</v>
      </c>
      <c r="H23" s="2"/>
      <c r="I23" s="2">
        <f>'Câbles A-R'!$D$6*COS(I21)</f>
        <v>-8.617306321727307</v>
      </c>
      <c r="J23" s="2">
        <f>'Câbles A-R'!$D$6*SIN(I21)</f>
        <v>-18.04832490170538</v>
      </c>
      <c r="K23" s="2"/>
      <c r="L23" s="6">
        <f>'Câbles A-R'!$D$6*COS(L21)</f>
        <v>16.27775075291709</v>
      </c>
      <c r="M23" s="7">
        <f>'Câbles A-R'!$D$6*SIN(L21)</f>
        <v>-11.620448804839988</v>
      </c>
      <c r="N23" s="7">
        <f>'Câbles A-R'!$D$6*COS(N21)</f>
        <v>-8.617306321727307</v>
      </c>
      <c r="O23" s="10">
        <f>'Câbles A-R'!$D$6*SIN(N21)</f>
        <v>-18.04832490170538</v>
      </c>
      <c r="P23" s="6">
        <f>'Câbles A-R'!$D$6*COS(P21)</f>
        <v>15.203020150267958</v>
      </c>
      <c r="Q23" s="7">
        <f>'Câbles A-R'!$D$6*SIN(P21)</f>
        <v>-12.994928945959899</v>
      </c>
      <c r="R23" s="7">
        <f>'Câbles A-R'!$D$6*COS(R21)</f>
        <v>-7.01149970737804</v>
      </c>
      <c r="S23" s="10">
        <f>'Câbles A-R'!$D$6*SIN(R21)</f>
        <v>-18.730693309470357</v>
      </c>
      <c r="T23" s="6">
        <f>'Câbles A-R'!$D$6*COS(T21)</f>
        <v>14.012585384440735</v>
      </c>
      <c r="U23" s="7">
        <f>'Câbles A-R'!$D$6*SIN(T21)</f>
        <v>-14.270509831248424</v>
      </c>
      <c r="V23" s="7">
        <f>'Câbles A-R'!$D$6*COS(V21)</f>
        <v>-5.352331346596349</v>
      </c>
      <c r="W23" s="10">
        <f>'Câbles A-R'!$D$6*SIN(V21)</f>
        <v>-19.270509831248425</v>
      </c>
      <c r="X23" s="6">
        <f>'Câbles A-R'!$D$6*COS(X21)</f>
        <v>12.71550638280753</v>
      </c>
      <c r="Y23" s="7">
        <f>'Câbles A-R'!$D$6*SIN(X21)</f>
        <v>-15.437483519951723</v>
      </c>
      <c r="Z23" s="7">
        <f>'Câbles A-R'!$D$6*COS(Z21)</f>
        <v>-3.6524285124410296</v>
      </c>
      <c r="AA23" s="10">
        <f>'Câbles A-R'!$D$6*SIN(Z21)</f>
        <v>-19.663666137358714</v>
      </c>
      <c r="AB23" s="6">
        <f>'Câbles A-R'!$D$6*COS(AB21)</f>
        <v>11.321654699768487</v>
      </c>
      <c r="AC23" s="7">
        <f>'Câbles A-R'!$D$6*SIN(AB21)</f>
        <v>-16.48696863766078</v>
      </c>
      <c r="AD23" s="7">
        <f>'Câbles A-R'!$D$6*COS(AD21)</f>
        <v>-1.924728491909403</v>
      </c>
      <c r="AE23" s="10">
        <f>'Câbles A-R'!$D$6*SIN(AD21)</f>
        <v>-19.907170070917466</v>
      </c>
      <c r="AF23" s="6">
        <f>'Câbles A-R'!$D$6*COS(AF21)</f>
        <v>9.841638388262187</v>
      </c>
      <c r="AG23" s="7">
        <f>'Câbles A-R'!$D$6*SIN(AF21)</f>
        <v>-17.410977968933395</v>
      </c>
      <c r="AH23" s="7">
        <f>'Câbles A-R'!$D$6*COS(AH21)</f>
        <v>-0.18238012537150297</v>
      </c>
      <c r="AI23" s="10">
        <f>'Câbles A-R'!$D$6*SIN(AH21)</f>
        <v>-19.9991684199586</v>
      </c>
      <c r="AJ23" s="6">
        <f>'Câbles A-R'!$D$6*COS(AJ21)</f>
        <v>8.28672126607748</v>
      </c>
      <c r="AK23" s="7">
        <f>'Câbles A-R'!$D$6*SIN(AJ21)</f>
        <v>-18.202479244826492</v>
      </c>
      <c r="AL23" s="7">
        <f>'Câbles A-R'!$D$6*COS(AL21)</f>
        <v>1.5613562640446002</v>
      </c>
      <c r="AM23" s="10">
        <f>'Câbles A-R'!$D$6*SIN(AL21)</f>
        <v>-19.938961021495796</v>
      </c>
      <c r="AN23" s="6">
        <f>'Câbles A-R'!$D$6*COS(AN21)</f>
        <v>6.668737191398816</v>
      </c>
      <c r="AO23" s="7">
        <f>'Câbles A-R'!$D$6*SIN(AN21)</f>
        <v>-18.855448662708987</v>
      </c>
      <c r="AP23" s="7">
        <f>'Câbles A-R'!$D$6*COS(AP21)</f>
        <v>3.29320978951864</v>
      </c>
      <c r="AQ23" s="10">
        <f>'Câbles A-R'!$D$6*SIN(AP21)</f>
        <v>-19.72700609018557</v>
      </c>
    </row>
    <row r="24" spans="1:43" ht="12.75">
      <c r="A24" s="2"/>
      <c r="B24" s="2" t="s">
        <v>101</v>
      </c>
      <c r="C24" s="2"/>
      <c r="D24" s="2">
        <f>SQRT((D8-D22)^2+(E8-E22)^2)</f>
        <v>508.9374286901361</v>
      </c>
      <c r="E24" s="2"/>
      <c r="F24" s="2"/>
      <c r="G24" s="2" t="s">
        <v>102</v>
      </c>
      <c r="H24" s="2"/>
      <c r="I24" s="2">
        <f>SQRT((D8-I23)^2+(E8-J23)^2)</f>
        <v>508.9374286901361</v>
      </c>
      <c r="J24" s="2"/>
      <c r="K24" s="2"/>
      <c r="L24" s="6">
        <f>SQRT((L8-L22)^2+(M8-M22)^2)</f>
        <v>508.9374286901361</v>
      </c>
      <c r="M24" s="7"/>
      <c r="N24" s="7">
        <f>SQRT((L8-N23)^2+(M8-O23)^2)</f>
        <v>508.9374286901361</v>
      </c>
      <c r="O24" s="10"/>
      <c r="P24" s="6">
        <f>SQRT((P8-P22)^2+(Q8-Q22)^2)</f>
        <v>507.35736883125884</v>
      </c>
      <c r="Q24" s="7"/>
      <c r="R24" s="7">
        <f>SQRT((P8-R23)^2+(Q8-S23)^2)</f>
        <v>507.35736883125884</v>
      </c>
      <c r="S24" s="10"/>
      <c r="T24" s="6">
        <f>SQRT((T8-T22)^2+(U8-U22)^2)</f>
        <v>505.71961732426035</v>
      </c>
      <c r="U24" s="7"/>
      <c r="V24" s="7">
        <f>SQRT((T8-V23)^2+(U8-W23)^2)</f>
        <v>505.71961732426035</v>
      </c>
      <c r="W24" s="10"/>
      <c r="X24" s="6">
        <f>SQRT((X8-X22)^2+(Y8-Y22)^2)</f>
        <v>504.0361381016653</v>
      </c>
      <c r="Y24" s="7"/>
      <c r="Z24" s="7">
        <f>SQRT((X8-Z23)^2+(Y8-AA23)^2)</f>
        <v>504.0361381016653</v>
      </c>
      <c r="AA24" s="10"/>
      <c r="AB24" s="6">
        <f>SQRT((AB8-AB22)^2+(AC8-AC22)^2)</f>
        <v>502.31934911160783</v>
      </c>
      <c r="AC24" s="7"/>
      <c r="AD24" s="7">
        <f>SQRT((AB8-AD23)^2+(AC8-AE23)^2)</f>
        <v>502.31934911160783</v>
      </c>
      <c r="AE24" s="10"/>
      <c r="AF24" s="6">
        <f>SQRT((AF8-AF22)^2+(AG8-AG22)^2)</f>
        <v>500.5820413532346</v>
      </c>
      <c r="AG24" s="7"/>
      <c r="AH24" s="7">
        <f>SQRT((AF8-AH23)^2+(AG8-AI23)^2)</f>
        <v>500.5820413532346</v>
      </c>
      <c r="AI24" s="10"/>
      <c r="AJ24" s="6">
        <f>SQRT((AJ8-AJ22)^2+(AK8-AK22)^2)</f>
        <v>498.8372918457033</v>
      </c>
      <c r="AK24" s="7"/>
      <c r="AL24" s="7">
        <f>SQRT((AJ8-AL23)^2+(AK8-AM23)^2)</f>
        <v>498.8372918457033</v>
      </c>
      <c r="AM24" s="10"/>
      <c r="AN24" s="6">
        <f>SQRT((AN8-AN22)^2+(AO8-AO22)^2)</f>
        <v>497.09837075822463</v>
      </c>
      <c r="AO24" s="7"/>
      <c r="AP24" s="7">
        <f>SQRT((AN8-AP23)^2+(AO8-AQ23)^2)</f>
        <v>497.09837075822463</v>
      </c>
      <c r="AQ24" s="10"/>
    </row>
    <row r="25" spans="1:43" ht="12.75">
      <c r="A25" s="2"/>
      <c r="B25" s="2" t="s">
        <v>13</v>
      </c>
      <c r="C25" s="2"/>
      <c r="D25" s="2">
        <f>ASIN(('Câbles A-R'!$D$6*SIN(D20))/D24)</f>
        <v>0.035470195307143036</v>
      </c>
      <c r="E25" s="2"/>
      <c r="F25" s="2"/>
      <c r="G25" s="2" t="s">
        <v>14</v>
      </c>
      <c r="H25" s="2"/>
      <c r="I25" s="2">
        <f>ASIN(('Câbles A-R'!$D$6*SIN(-I21))/I24)</f>
        <v>0.035470195307143036</v>
      </c>
      <c r="J25" s="2"/>
      <c r="K25" s="2"/>
      <c r="L25" s="6">
        <f>ASIN(('Câbles A-R'!$D$6*SIN(L20))/L24)</f>
        <v>0.035470195307143036</v>
      </c>
      <c r="M25" s="7"/>
      <c r="N25" s="7">
        <f>ASIN(('Câbles A-R'!$D$6*SIN(-N21))/N24)</f>
        <v>0.035470195307143036</v>
      </c>
      <c r="O25" s="10"/>
      <c r="P25" s="6">
        <f>ASIN(('Câbles A-R'!$D$6*SIN(P20))/P24)</f>
        <v>0.03692653719769295</v>
      </c>
      <c r="Q25" s="7"/>
      <c r="R25" s="7">
        <f>ASIN(('Câbles A-R'!$D$6*SIN(-R21))/R24)</f>
        <v>0.03692653719769295</v>
      </c>
      <c r="S25" s="10"/>
      <c r="T25" s="6">
        <f>ASIN(('Câbles A-R'!$D$6*SIN(T20))/T24)</f>
        <v>0.038114353657897546</v>
      </c>
      <c r="U25" s="7"/>
      <c r="V25" s="7">
        <f>ASIN(('Câbles A-R'!$D$6*SIN(-V21))/V24)</f>
        <v>0.038114353657897546</v>
      </c>
      <c r="W25" s="10"/>
      <c r="X25" s="6">
        <f>ASIN(('Câbles A-R'!$D$6*SIN(X20))/X24)</f>
        <v>0.039022316026264096</v>
      </c>
      <c r="Y25" s="7"/>
      <c r="Z25" s="7">
        <f>ASIN(('Câbles A-R'!$D$6*SIN(-Z21))/Z24)</f>
        <v>0.039022316026264096</v>
      </c>
      <c r="AA25" s="10"/>
      <c r="AB25" s="6">
        <f>ASIN(('Câbles A-R'!$D$6*SIN(AB20))/AB24)</f>
        <v>0.039640887315577474</v>
      </c>
      <c r="AC25" s="7"/>
      <c r="AD25" s="7">
        <f>ASIN(('Câbles A-R'!$D$6*SIN(-AD21))/AD24)</f>
        <v>0.039640887315577474</v>
      </c>
      <c r="AE25" s="10"/>
      <c r="AF25" s="6">
        <f>ASIN(('Câbles A-R'!$D$6*SIN(AF20))/AF24)</f>
        <v>0.039962465423850034</v>
      </c>
      <c r="AG25" s="7"/>
      <c r="AH25" s="7">
        <f>ASIN(('Câbles A-R'!$D$6*SIN(-AH21))/AH24)</f>
        <v>0.039962465423850034</v>
      </c>
      <c r="AI25" s="10"/>
      <c r="AJ25" s="6">
        <f>ASIN(('Câbles A-R'!$D$6*SIN(AJ20))/AJ24)</f>
        <v>0.039981521997947383</v>
      </c>
      <c r="AK25" s="7"/>
      <c r="AL25" s="7">
        <f>ASIN(('Câbles A-R'!$D$6*SIN(-AL21))/AL24)</f>
        <v>0.039981521997947383</v>
      </c>
      <c r="AM25" s="10"/>
      <c r="AN25" s="6">
        <f>ASIN(('Câbles A-R'!$D$6*SIN(AN20))/AN24)</f>
        <v>0.03969473398352221</v>
      </c>
      <c r="AO25" s="7"/>
      <c r="AP25" s="7">
        <f>ASIN(('Câbles A-R'!$D$6*SIN(-AP21))/AP24)</f>
        <v>0.03969473398352221</v>
      </c>
      <c r="AQ25" s="10"/>
    </row>
    <row r="26" spans="1:43" ht="12.75">
      <c r="A26" s="2"/>
      <c r="B26" s="2" t="s">
        <v>15</v>
      </c>
      <c r="C26" s="2"/>
      <c r="D26" s="2">
        <f>ACOS(('Câbles A-R'!$D$8^2+D24^2-D17^2)/(2*'Câbles A-R'!$D$8*D24))</f>
        <v>1.2089868669950097</v>
      </c>
      <c r="E26" s="2"/>
      <c r="F26" s="2"/>
      <c r="G26" s="2" t="s">
        <v>20</v>
      </c>
      <c r="H26" s="2"/>
      <c r="I26" s="2">
        <f>ACOS(('Câbles A-R'!$D$8^2+I24^2-D17^2)/(2*'Câbles A-R'!$D$8*I24))</f>
        <v>1.2089868669950097</v>
      </c>
      <c r="J26" s="2"/>
      <c r="K26" s="2"/>
      <c r="L26" s="6">
        <f>ACOS(('Câbles A-R'!$D$8^2+L24^2-L17^2)/(2*'Câbles A-R'!$D$8*L24))</f>
        <v>1.2089868669950097</v>
      </c>
      <c r="M26" s="7"/>
      <c r="N26" s="7">
        <f>ACOS(('Câbles A-R'!$D$8^2+N24^2-L17^2)/(2*'Câbles A-R'!$D$8*N24))</f>
        <v>1.2089868669950097</v>
      </c>
      <c r="O26" s="10"/>
      <c r="P26" s="6">
        <f>ACOS(('Câbles A-R'!$D$8^2+P24^2-P17^2)/(2*'Câbles A-R'!$D$8*P24))</f>
        <v>1.2636719712941458</v>
      </c>
      <c r="Q26" s="7"/>
      <c r="R26" s="7">
        <f>ACOS(('Câbles A-R'!$D$8^2+R24^2-P17^2)/(2*'Câbles A-R'!$D$8*R24))</f>
        <v>1.2636719712941458</v>
      </c>
      <c r="S26" s="10"/>
      <c r="T26" s="6">
        <f>ACOS(('Câbles A-R'!$D$8^2+T24^2-T17^2)/(2*'Câbles A-R'!$D$8*T24))</f>
        <v>1.3195434017879748</v>
      </c>
      <c r="U26" s="7"/>
      <c r="V26" s="7">
        <f>ACOS(('Câbles A-R'!$D$8^2+V24^2-T17^2)/(2*'Câbles A-R'!$D$8*V24))</f>
        <v>1.3195434017879748</v>
      </c>
      <c r="W26" s="10"/>
      <c r="X26" s="6">
        <f>ACOS(('Câbles A-R'!$D$8^2+X24^2-X17^2)/(2*'Câbles A-R'!$D$8*X24))</f>
        <v>1.376334601075183</v>
      </c>
      <c r="Y26" s="7"/>
      <c r="Z26" s="7">
        <f>ACOS(('Câbles A-R'!$D$8^2+Z24^2-X17^2)/(2*'Câbles A-R'!$D$8*Z24))</f>
        <v>1.376334601075183</v>
      </c>
      <c r="AA26" s="10"/>
      <c r="AB26" s="6">
        <f>ACOS(('Câbles A-R'!$D$8^2+AB24^2-AB17^2)/(2*'Câbles A-R'!$D$8*AB24))</f>
        <v>1.4337933638634888</v>
      </c>
      <c r="AC26" s="7"/>
      <c r="AD26" s="7">
        <f>ACOS(('Câbles A-R'!$D$8^2+AD24^2-AB17^2)/(2*'Câbles A-R'!$D$8*AD24))</f>
        <v>1.4337933638634888</v>
      </c>
      <c r="AE26" s="10"/>
      <c r="AF26" s="6">
        <f>ACOS(('Câbles A-R'!$D$8^2+AF24^2-AF17^2)/(2*'Câbles A-R'!$D$8*AF24))</f>
        <v>1.4916757808856627</v>
      </c>
      <c r="AG26" s="7"/>
      <c r="AH26" s="7">
        <f>ACOS(('Câbles A-R'!$D$8^2+AH24^2-AF17^2)/(2*'Câbles A-R'!$D$8*AH24))</f>
        <v>1.4916757808856627</v>
      </c>
      <c r="AI26" s="10"/>
      <c r="AJ26" s="6">
        <f>ACOS(('Câbles A-R'!$D$8^2+AJ24^2-AJ17^2)/(2*'Câbles A-R'!$D$8*AJ24))</f>
        <v>1.5497403282846145</v>
      </c>
      <c r="AK26" s="7"/>
      <c r="AL26" s="7">
        <f>ACOS(('Câbles A-R'!$D$8^2+AL24^2-AJ17^2)/(2*'Câbles A-R'!$D$8*AL24))</f>
        <v>1.5497403282846145</v>
      </c>
      <c r="AM26" s="10"/>
      <c r="AN26" s="6">
        <f>ACOS(('Câbles A-R'!$D$8^2+AN24^2-AN17^2)/(2*'Câbles A-R'!$D$8*AN24))</f>
        <v>1.6077420566706793</v>
      </c>
      <c r="AO26" s="7"/>
      <c r="AP26" s="7">
        <f>ACOS(('Câbles A-R'!$D$8^2+AP24^2-AN17^2)/(2*'Câbles A-R'!$D$8*AP24))</f>
        <v>1.6077420566706793</v>
      </c>
      <c r="AQ26" s="10"/>
    </row>
    <row r="27" spans="1:43" ht="12.75">
      <c r="A27" s="2"/>
      <c r="B27" s="2" t="s">
        <v>79</v>
      </c>
      <c r="C27" s="2"/>
      <c r="D27" s="2">
        <f>PI()-D26-D25</f>
        <v>1.8971355912876404</v>
      </c>
      <c r="E27" s="2"/>
      <c r="F27" s="2"/>
      <c r="G27" s="2" t="s">
        <v>92</v>
      </c>
      <c r="H27" s="2"/>
      <c r="I27" s="2">
        <f>I28+2*D11</f>
        <v>0.9769938834822696</v>
      </c>
      <c r="J27" s="2"/>
      <c r="K27" s="2"/>
      <c r="L27" s="6">
        <f>PI()-L26-L25</f>
        <v>1.8971355912876404</v>
      </c>
      <c r="M27" s="7"/>
      <c r="N27" s="7">
        <f>N28+2*L11</f>
        <v>0.9769938834822696</v>
      </c>
      <c r="O27" s="10"/>
      <c r="P27" s="6">
        <f>PI()-P26-P25</f>
        <v>1.8409941450979543</v>
      </c>
      <c r="Q27" s="7"/>
      <c r="R27" s="7">
        <f>R28+2*P11</f>
        <v>1.0331353296719554</v>
      </c>
      <c r="S27" s="10"/>
      <c r="T27" s="6">
        <f>PI()-T26-T25</f>
        <v>1.7839348981439207</v>
      </c>
      <c r="U27" s="7"/>
      <c r="V27" s="7">
        <f>V28+2*T11</f>
        <v>1.090194576625989</v>
      </c>
      <c r="W27" s="10"/>
      <c r="X27" s="6">
        <f>PI()-X26-X25</f>
        <v>1.726235736488346</v>
      </c>
      <c r="Y27" s="7"/>
      <c r="Z27" s="7">
        <f>Z28+2*X11</f>
        <v>1.1478937382815637</v>
      </c>
      <c r="AA27" s="10"/>
      <c r="AB27" s="6">
        <f>PI()-AB26-AB25</f>
        <v>1.6681584024107268</v>
      </c>
      <c r="AC27" s="7"/>
      <c r="AD27" s="7">
        <f>AD28+2*AB11</f>
        <v>1.205971072359183</v>
      </c>
      <c r="AE27" s="10"/>
      <c r="AF27" s="6">
        <f>PI()-AF26-AF25</f>
        <v>1.6099544072802805</v>
      </c>
      <c r="AG27" s="7"/>
      <c r="AH27" s="7">
        <f>AH28+2*AF11</f>
        <v>1.2641750674896297</v>
      </c>
      <c r="AI27" s="10"/>
      <c r="AJ27" s="6">
        <f>PI()-AJ26-AJ25</f>
        <v>1.5518708033072313</v>
      </c>
      <c r="AK27" s="7"/>
      <c r="AL27" s="7">
        <f>AL28+2*AJ11</f>
        <v>1.322258671462679</v>
      </c>
      <c r="AM27" s="10"/>
      <c r="AN27" s="6">
        <f>PI()-AN26-AN25</f>
        <v>1.4941558629355915</v>
      </c>
      <c r="AO27" s="7"/>
      <c r="AP27" s="7">
        <f>AP28+2*AN11</f>
        <v>1.3799736118343184</v>
      </c>
      <c r="AQ27" s="10"/>
    </row>
    <row r="28" spans="1:43" ht="12.75">
      <c r="A28" s="2"/>
      <c r="B28" s="2" t="s">
        <v>80</v>
      </c>
      <c r="C28" s="2"/>
      <c r="D28" s="2">
        <f>D27-2*D11</f>
        <v>-0.9769938834822696</v>
      </c>
      <c r="E28" s="2"/>
      <c r="F28" s="2"/>
      <c r="G28" s="2" t="s">
        <v>93</v>
      </c>
      <c r="H28" s="2"/>
      <c r="I28" s="2">
        <f>-PI()+I25+I26</f>
        <v>-1.8971355912876404</v>
      </c>
      <c r="J28" s="2"/>
      <c r="K28" s="2"/>
      <c r="L28" s="6">
        <f>L27-2*L11</f>
        <v>-0.9769938834822696</v>
      </c>
      <c r="M28" s="7"/>
      <c r="N28" s="7">
        <f>-PI()+N25+N26</f>
        <v>-1.8971355912876404</v>
      </c>
      <c r="O28" s="10"/>
      <c r="P28" s="6">
        <f>P27-2*P11</f>
        <v>-1.0331353296719556</v>
      </c>
      <c r="Q28" s="7"/>
      <c r="R28" s="7">
        <f>-PI()+R25+R26</f>
        <v>-1.8409941450979546</v>
      </c>
      <c r="S28" s="10"/>
      <c r="T28" s="6">
        <f>T27-2*T11</f>
        <v>-1.0901945766259893</v>
      </c>
      <c r="U28" s="7"/>
      <c r="V28" s="7">
        <f>-PI()+V25+V26</f>
        <v>-1.783934898143921</v>
      </c>
      <c r="W28" s="10"/>
      <c r="X28" s="6">
        <f>X27-2*X11</f>
        <v>-1.147893738281564</v>
      </c>
      <c r="Y28" s="7"/>
      <c r="Z28" s="7">
        <f>-PI()+Z25+Z26</f>
        <v>-1.7262357364883463</v>
      </c>
      <c r="AA28" s="10"/>
      <c r="AB28" s="6">
        <f>AB27-2*AB11</f>
        <v>-1.2059710723591832</v>
      </c>
      <c r="AC28" s="7"/>
      <c r="AD28" s="7">
        <f>-PI()+AD25+AD26</f>
        <v>-1.668158402410727</v>
      </c>
      <c r="AE28" s="10"/>
      <c r="AF28" s="6">
        <f>AF27-2*AF11</f>
        <v>-1.2641750674896295</v>
      </c>
      <c r="AG28" s="7"/>
      <c r="AH28" s="7">
        <f>-PI()+AH25+AH26</f>
        <v>-1.6099544072802803</v>
      </c>
      <c r="AI28" s="10"/>
      <c r="AJ28" s="6">
        <f>AJ27-2*AJ11</f>
        <v>-1.3222586714626787</v>
      </c>
      <c r="AK28" s="7"/>
      <c r="AL28" s="7">
        <f>-PI()+AL25+AL26</f>
        <v>-1.551870803307231</v>
      </c>
      <c r="AM28" s="10"/>
      <c r="AN28" s="6">
        <f>AN27-2*AN11</f>
        <v>-1.3799736118343184</v>
      </c>
      <c r="AO28" s="7"/>
      <c r="AP28" s="7">
        <f>-PI()+AP25+AP26</f>
        <v>-1.4941558629355915</v>
      </c>
      <c r="AQ28" s="10"/>
    </row>
    <row r="29" spans="1:43" ht="12.75">
      <c r="A29" s="2"/>
      <c r="B29" s="2" t="s">
        <v>81</v>
      </c>
      <c r="C29" s="2"/>
      <c r="D29" s="2">
        <f>D27-D14</f>
        <v>0.46007085390268543</v>
      </c>
      <c r="E29" s="2"/>
      <c r="F29" s="2"/>
      <c r="G29" s="2" t="s">
        <v>94</v>
      </c>
      <c r="H29" s="2"/>
      <c r="I29" s="2">
        <f>I28-D15</f>
        <v>-0.46007085390268543</v>
      </c>
      <c r="J29" s="2"/>
      <c r="K29" s="2"/>
      <c r="L29" s="6">
        <f>L27-L14</f>
        <v>0.46007085390268543</v>
      </c>
      <c r="M29" s="7"/>
      <c r="N29" s="7">
        <f>N28-L15</f>
        <v>-0.46007085390268543</v>
      </c>
      <c r="O29" s="10"/>
      <c r="P29" s="6">
        <f>P27-P14</f>
        <v>0.40392940771299934</v>
      </c>
      <c r="Q29" s="7"/>
      <c r="R29" s="7">
        <f>R28-P15</f>
        <v>-0.40392940771299957</v>
      </c>
      <c r="S29" s="10"/>
      <c r="T29" s="6">
        <f>T27-T14</f>
        <v>0.3468701607589657</v>
      </c>
      <c r="U29" s="7"/>
      <c r="V29" s="7">
        <f>V28-T15</f>
        <v>-0.34687016075896593</v>
      </c>
      <c r="W29" s="10"/>
      <c r="X29" s="6">
        <f>X27-X14</f>
        <v>0.28917099910339106</v>
      </c>
      <c r="Y29" s="7"/>
      <c r="Z29" s="7">
        <f>Z28-X15</f>
        <v>-0.2891709991033913</v>
      </c>
      <c r="AA29" s="10"/>
      <c r="AB29" s="6">
        <f>AB27-AB14</f>
        <v>0.23109366502577178</v>
      </c>
      <c r="AC29" s="7"/>
      <c r="AD29" s="7">
        <f>AD28-AB15</f>
        <v>-0.231093665025772</v>
      </c>
      <c r="AE29" s="10"/>
      <c r="AF29" s="6">
        <f>AF27-AF14</f>
        <v>0.1728896698953255</v>
      </c>
      <c r="AG29" s="7"/>
      <c r="AH29" s="7">
        <f>AH28-AF15</f>
        <v>-0.17288966989532528</v>
      </c>
      <c r="AI29" s="10"/>
      <c r="AJ29" s="6">
        <f>AJ27-AJ14</f>
        <v>0.11480606592227627</v>
      </c>
      <c r="AK29" s="7"/>
      <c r="AL29" s="7">
        <f>AL28-AJ15</f>
        <v>-0.11480606592227605</v>
      </c>
      <c r="AM29" s="10"/>
      <c r="AN29" s="6">
        <f>AN27-AN14</f>
        <v>0.05709112555063656</v>
      </c>
      <c r="AO29" s="7"/>
      <c r="AP29" s="7">
        <f>AP28-AN15</f>
        <v>-0.05709112555063656</v>
      </c>
      <c r="AQ29" s="10"/>
    </row>
    <row r="30" spans="1:43" ht="12.75">
      <c r="A30" s="2"/>
      <c r="B30" s="2" t="s">
        <v>83</v>
      </c>
      <c r="C30" s="2"/>
      <c r="D30" s="2">
        <f>D8+'Câbles A-R'!$D$8*COS(D27)</f>
        <v>490.38267037741264</v>
      </c>
      <c r="E30" s="2">
        <f>'Câbles A-R'!$D$8*SIN(D27)</f>
        <v>28.416667132697032</v>
      </c>
      <c r="F30" s="2"/>
      <c r="G30" s="2" t="s">
        <v>95</v>
      </c>
      <c r="H30" s="2"/>
      <c r="I30" s="2">
        <f>'Câbles A-R'!$D$5+'Câbles A-R'!$D$8*COS(I27)</f>
        <v>516.7854979411503</v>
      </c>
      <c r="J30" s="2">
        <f>'Câbles A-R'!$D$8*SIN(I27)</f>
        <v>24.86457437535658</v>
      </c>
      <c r="K30" s="2"/>
      <c r="L30" s="6">
        <f>L8+'Câbles A-R'!$D$8*COS(L27)</f>
        <v>490.38267037741264</v>
      </c>
      <c r="M30" s="7">
        <f>'Câbles A-R'!$D$8*SIN(L27)</f>
        <v>28.416667132697032</v>
      </c>
      <c r="N30" s="7">
        <f>'Câbles A-R'!$D$5+'Câbles A-R'!$D$8*COS(N27)</f>
        <v>516.7854979411503</v>
      </c>
      <c r="O30" s="10">
        <f>'Câbles A-R'!$D$8*SIN(N27)</f>
        <v>24.86457437535658</v>
      </c>
      <c r="P30" s="6">
        <f>P8+'Câbles A-R'!$D$8*COS(P27)</f>
        <v>491.99233751024104</v>
      </c>
      <c r="Q30" s="7">
        <f>'Câbles A-R'!$D$8*SIN(P27)</f>
        <v>28.91154339446629</v>
      </c>
      <c r="R30" s="7">
        <f>'Câbles A-R'!$D$5+'Câbles A-R'!$D$8*COS(R27)</f>
        <v>515.3638521202247</v>
      </c>
      <c r="S30" s="10">
        <f>'Câbles A-R'!$D$8*SIN(R27)</f>
        <v>25.76726698794161</v>
      </c>
      <c r="T30" s="6">
        <f>T8+'Câbles A-R'!$D$8*COS(T27)</f>
        <v>493.6541453634782</v>
      </c>
      <c r="U30" s="7">
        <f>'Câbles A-R'!$D$8*SIN(T27)</f>
        <v>29.321154972683715</v>
      </c>
      <c r="V30" s="7">
        <f>'Câbles A-R'!$D$5+'Câbles A-R'!$D$8*COS(V27)</f>
        <v>513.86938523744</v>
      </c>
      <c r="W30" s="10">
        <f>'Câbles A-R'!$D$8*SIN(V27)</f>
        <v>26.601506595218993</v>
      </c>
      <c r="X30" s="6">
        <f>X8+'Câbles A-R'!$D$8*COS(X27)</f>
        <v>495.35557321348665</v>
      </c>
      <c r="Y30" s="7">
        <f>'Câbles A-R'!$D$8*SIN(X27)</f>
        <v>29.638307978437584</v>
      </c>
      <c r="Z30" s="7">
        <f>'Câbles A-R'!$D$5+'Câbles A-R'!$D$8*COS(Z27)</f>
        <v>512.3122715934222</v>
      </c>
      <c r="AA30" s="10">
        <f>'Câbles A-R'!$D$8*SIN(Z27)</f>
        <v>27.357046043200775</v>
      </c>
      <c r="AB30" s="6">
        <f>AB8+'Câbles A-R'!$D$8*COS(AB27)</f>
        <v>497.0837502023436</v>
      </c>
      <c r="AC30" s="7">
        <f>'Câbles A-R'!$D$8*SIN(AB27)</f>
        <v>29.85792168114969</v>
      </c>
      <c r="AD30" s="7">
        <f>'Câbles A-R'!$D$5+'Câbles A-R'!$D$8*COS(AD27)</f>
        <v>510.7035816513224</v>
      </c>
      <c r="AE30" s="10">
        <f>'Câbles A-R'!$D$8*SIN(AD27)</f>
        <v>28.025583666241</v>
      </c>
      <c r="AF30" s="6">
        <f>AF8+'Câbles A-R'!$D$8*COS(AF27)</f>
        <v>498.82555777866725</v>
      </c>
      <c r="AG30" s="7">
        <f>'Câbles A-R'!$D$8*SIN(AF27)</f>
        <v>29.977002609813262</v>
      </c>
      <c r="AH30" s="7">
        <f>'Câbles A-R'!$D$5+'Câbles A-R'!$D$8*COS(AH27)</f>
        <v>509.0551763936592</v>
      </c>
      <c r="AI30" s="10">
        <f>'Câbles A-R'!$D$8*SIN(AH27)</f>
        <v>28.600765382760596</v>
      </c>
      <c r="AJ30" s="6">
        <f>AJ8+'Câbles A-R'!$D$8*COS(AJ27)</f>
        <v>500.5677318119485</v>
      </c>
      <c r="AK30" s="7">
        <f>'Câbles A-R'!$D$8*SIN(AJ27)</f>
        <v>29.99462752877091</v>
      </c>
      <c r="AL30" s="7">
        <f>'Câbles A-R'!$D$5+'Câbles A-R'!$D$8*COS(AL27)</f>
        <v>507.3796043394616</v>
      </c>
      <c r="AM30" s="10">
        <f>'Câbles A-R'!$D$8*SIN(AL27)</f>
        <v>29.07819526368512</v>
      </c>
      <c r="AN30" s="6">
        <f>AN8+'Câbles A-R'!$D$8*COS(AN27)</f>
        <v>502.29696373800766</v>
      </c>
      <c r="AO30" s="7">
        <f>'Câbles A-R'!$D$8*SIN(AN27)</f>
        <v>29.91193670737951</v>
      </c>
      <c r="AP30" s="7">
        <f>'Câbles A-R'!$D$5+'Câbles A-R'!$D$8*COS(AP27)</f>
        <v>505.69000221636315</v>
      </c>
      <c r="AQ30" s="10">
        <f>'Câbles A-R'!$D$8*SIN(AP27)</f>
        <v>29.455455772705033</v>
      </c>
    </row>
    <row r="31" spans="1:43" ht="12.75">
      <c r="A31" s="2"/>
      <c r="B31" s="2" t="s">
        <v>84</v>
      </c>
      <c r="C31" s="2"/>
      <c r="D31" s="2">
        <f>'Câbles A-R'!$D$5+'Câbles A-R'!$D$8*COS(D28)</f>
        <v>516.7854979411503</v>
      </c>
      <c r="E31" s="2">
        <f>'Câbles A-R'!$D$8*SIN(D28)</f>
        <v>-24.86457437535658</v>
      </c>
      <c r="F31" s="2"/>
      <c r="G31" s="2" t="s">
        <v>96</v>
      </c>
      <c r="H31" s="2"/>
      <c r="I31" s="2">
        <f>'Câbles A-R'!$D$5+'Câbles A-R'!$D$8*COS(I28)</f>
        <v>490.38267037741264</v>
      </c>
      <c r="J31" s="2">
        <f>'Câbles A-R'!$D$8*SIN(I28)</f>
        <v>-28.416667132697032</v>
      </c>
      <c r="K31" s="2"/>
      <c r="L31" s="6">
        <f>'Câbles A-R'!$D$5+'Câbles A-R'!$D$8*COS(L28)</f>
        <v>516.7854979411503</v>
      </c>
      <c r="M31" s="7">
        <f>'Câbles A-R'!$D$8*SIN(L28)</f>
        <v>-24.86457437535658</v>
      </c>
      <c r="N31" s="7">
        <f>'Câbles A-R'!$D$5+'Câbles A-R'!$D$8*COS(N28)</f>
        <v>490.38267037741264</v>
      </c>
      <c r="O31" s="10">
        <f>'Câbles A-R'!$D$8*SIN(N28)</f>
        <v>-28.416667132697032</v>
      </c>
      <c r="P31" s="6">
        <f>'Câbles A-R'!$D$5+'Câbles A-R'!$D$8*COS(P28)</f>
        <v>515.3638521202247</v>
      </c>
      <c r="Q31" s="7">
        <f>'Câbles A-R'!$D$8*SIN(P28)</f>
        <v>-25.767266987941614</v>
      </c>
      <c r="R31" s="7">
        <f>'Câbles A-R'!$D$5+'Câbles A-R'!$D$8*COS(R28)</f>
        <v>491.99233751024104</v>
      </c>
      <c r="S31" s="10">
        <f>'Câbles A-R'!$D$8*SIN(R28)</f>
        <v>-28.91154339446629</v>
      </c>
      <c r="T31" s="6">
        <f>'Câbles A-R'!$D$5+'Câbles A-R'!$D$8*COS(T28)</f>
        <v>513.86938523744</v>
      </c>
      <c r="U31" s="7">
        <f>'Câbles A-R'!$D$8*SIN(T28)</f>
        <v>-26.601506595218996</v>
      </c>
      <c r="V31" s="7">
        <f>'Câbles A-R'!$D$5+'Câbles A-R'!$D$8*COS(V28)</f>
        <v>493.6541453634782</v>
      </c>
      <c r="W31" s="10">
        <f>'Câbles A-R'!$D$8*SIN(V28)</f>
        <v>-29.321154972683715</v>
      </c>
      <c r="X31" s="6">
        <f>'Câbles A-R'!$D$5+'Câbles A-R'!$D$8*COS(X28)</f>
        <v>512.3122715934222</v>
      </c>
      <c r="Y31" s="7">
        <f>'Câbles A-R'!$D$8*SIN(X28)</f>
        <v>-27.357046043200775</v>
      </c>
      <c r="Z31" s="7">
        <f>'Câbles A-R'!$D$5+'Câbles A-R'!$D$8*COS(Z28)</f>
        <v>495.35557321348665</v>
      </c>
      <c r="AA31" s="10">
        <f>'Câbles A-R'!$D$8*SIN(Z28)</f>
        <v>-29.638307978437584</v>
      </c>
      <c r="AB31" s="6">
        <f>'Câbles A-R'!$D$5+'Câbles A-R'!$D$8*COS(AB28)</f>
        <v>510.7035816513224</v>
      </c>
      <c r="AC31" s="7">
        <f>'Câbles A-R'!$D$8*SIN(AB28)</f>
        <v>-28.025583666241005</v>
      </c>
      <c r="AD31" s="7">
        <f>'Câbles A-R'!$D$5+'Câbles A-R'!$D$8*COS(AD28)</f>
        <v>497.08375020234354</v>
      </c>
      <c r="AE31" s="10">
        <f>'Câbles A-R'!$D$8*SIN(AD28)</f>
        <v>-29.85792168114969</v>
      </c>
      <c r="AF31" s="6">
        <f>'Câbles A-R'!$D$5+'Câbles A-R'!$D$8*COS(AF28)</f>
        <v>509.0551763936592</v>
      </c>
      <c r="AG31" s="7">
        <f>'Câbles A-R'!$D$8*SIN(AF28)</f>
        <v>-28.600765382760596</v>
      </c>
      <c r="AH31" s="7">
        <f>'Câbles A-R'!$D$5+'Câbles A-R'!$D$8*COS(AH28)</f>
        <v>498.82555777866725</v>
      </c>
      <c r="AI31" s="10">
        <f>'Câbles A-R'!$D$8*SIN(AH28)</f>
        <v>-29.977002609813262</v>
      </c>
      <c r="AJ31" s="6">
        <f>'Câbles A-R'!$D$5+'Câbles A-R'!$D$8*COS(AJ28)</f>
        <v>507.3796043394616</v>
      </c>
      <c r="AK31" s="7">
        <f>'Câbles A-R'!$D$8*SIN(AJ28)</f>
        <v>-29.078195263685117</v>
      </c>
      <c r="AL31" s="7">
        <f>'Câbles A-R'!$D$5+'Câbles A-R'!$D$8*COS(AL28)</f>
        <v>500.56773181194853</v>
      </c>
      <c r="AM31" s="10">
        <f>'Câbles A-R'!$D$8*SIN(AL28)</f>
        <v>-29.99462752877091</v>
      </c>
      <c r="AN31" s="6">
        <f>'Câbles A-R'!$D$5+'Câbles A-R'!$D$8*COS(AN28)</f>
        <v>505.69000221636315</v>
      </c>
      <c r="AO31" s="7">
        <f>'Câbles A-R'!$D$8*SIN(AN28)</f>
        <v>-29.455455772705033</v>
      </c>
      <c r="AP31" s="7">
        <f>'Câbles A-R'!$D$5+'Câbles A-R'!$D$8*COS(AP28)</f>
        <v>502.29696373800766</v>
      </c>
      <c r="AQ31" s="10">
        <f>'Câbles A-R'!$D$8*SIN(AP28)</f>
        <v>-29.91193670737951</v>
      </c>
    </row>
    <row r="32" spans="1:43" ht="12.75">
      <c r="A32" s="2"/>
      <c r="B32" s="2" t="s">
        <v>85</v>
      </c>
      <c r="C32" s="2"/>
      <c r="D32" s="2">
        <f>'Câbles A-R'!$D$5+'Câbles A-R'!$D$10*COS(D29)</f>
        <v>562.7214727874258</v>
      </c>
      <c r="E32" s="2">
        <f>'Câbles A-R'!$D$10*SIN(D29)</f>
        <v>31.080811626728952</v>
      </c>
      <c r="F32" s="2"/>
      <c r="G32" s="2" t="s">
        <v>97</v>
      </c>
      <c r="H32" s="2"/>
      <c r="I32" s="2">
        <f>'Câbles A-R'!$D$5+'Câbles A-R'!$D$10*COS(I29)</f>
        <v>562.7214727874258</v>
      </c>
      <c r="J32" s="2">
        <f>'Câbles A-R'!$D$10*SIN(I29)</f>
        <v>-31.080811626728952</v>
      </c>
      <c r="K32" s="2"/>
      <c r="L32" s="6">
        <f>'Câbles A-R'!$D$5+'Câbles A-R'!$D$10*COS(L29)</f>
        <v>562.7214727874258</v>
      </c>
      <c r="M32" s="7">
        <f>'Câbles A-R'!$D$10*SIN(L29)</f>
        <v>31.080811626728952</v>
      </c>
      <c r="N32" s="7">
        <f>'Câbles A-R'!$D$5+'Câbles A-R'!$D$10*COS(N29)</f>
        <v>562.7214727874258</v>
      </c>
      <c r="O32" s="10">
        <f>'Câbles A-R'!$D$10*SIN(N29)</f>
        <v>-31.080811626728952</v>
      </c>
      <c r="P32" s="6">
        <f>'Câbles A-R'!$D$5+'Câbles A-R'!$D$10*COS(P29)</f>
        <v>564.3666592665755</v>
      </c>
      <c r="Q32" s="7">
        <f>'Câbles A-R'!$D$10*SIN(P29)</f>
        <v>27.512418557090896</v>
      </c>
      <c r="R32" s="7">
        <f>'Câbles A-R'!$D$5+'Câbles A-R'!$D$10*COS(R29)</f>
        <v>564.3666592665755</v>
      </c>
      <c r="S32" s="10">
        <f>'Câbles A-R'!$D$10*SIN(R29)</f>
        <v>-27.51241855709091</v>
      </c>
      <c r="T32" s="6">
        <f>'Câbles A-R'!$D$5+'Câbles A-R'!$D$10*COS(T29)</f>
        <v>565.8308927580348</v>
      </c>
      <c r="U32" s="7">
        <f>'Câbles A-R'!$D$10*SIN(T29)</f>
        <v>23.796923302816268</v>
      </c>
      <c r="V32" s="7">
        <f>'Câbles A-R'!$D$5+'Câbles A-R'!$D$10*COS(V29)</f>
        <v>565.8308927580348</v>
      </c>
      <c r="W32" s="10">
        <f>'Câbles A-R'!$D$10*SIN(V29)</f>
        <v>-23.79692330281628</v>
      </c>
      <c r="X32" s="6">
        <f>'Câbles A-R'!$D$5+'Câbles A-R'!$D$10*COS(X29)</f>
        <v>567.0936420604528</v>
      </c>
      <c r="Y32" s="7">
        <f>'Câbles A-R'!$D$10*SIN(X29)</f>
        <v>19.961041933322083</v>
      </c>
      <c r="Z32" s="7">
        <f>'Câbles A-R'!$D$5+'Câbles A-R'!$D$10*COS(Z29)</f>
        <v>567.0936420604528</v>
      </c>
      <c r="AA32" s="10">
        <f>'Câbles A-R'!$D$10*SIN(Z29)</f>
        <v>-19.9610419333221</v>
      </c>
      <c r="AB32" s="6">
        <f>'Câbles A-R'!$D$5+'Câbles A-R'!$D$10*COS(AB29)</f>
        <v>568.1391537195772</v>
      </c>
      <c r="AC32" s="7">
        <f>'Câbles A-R'!$D$10*SIN(AB29)</f>
        <v>16.032957630451012</v>
      </c>
      <c r="AD32" s="7">
        <f>'Câbles A-R'!$D$5+'Câbles A-R'!$D$10*COS(AD29)</f>
        <v>568.1391537195772</v>
      </c>
      <c r="AE32" s="10">
        <f>'Câbles A-R'!$D$10*SIN(AD29)</f>
        <v>-16.032957630451026</v>
      </c>
      <c r="AF32" s="6">
        <f>'Câbles A-R'!$D$5+'Câbles A-R'!$D$10*COS(AF29)</f>
        <v>568.9564240078568</v>
      </c>
      <c r="AG32" s="7">
        <f>'Câbles A-R'!$D$10*SIN(AF29)</f>
        <v>12.042075736710828</v>
      </c>
      <c r="AH32" s="7">
        <f>'Câbles A-R'!$D$5+'Câbles A-R'!$D$10*COS(AH29)</f>
        <v>568.9564240078568</v>
      </c>
      <c r="AI32" s="10">
        <f>'Câbles A-R'!$D$10*SIN(AH29)</f>
        <v>-12.042075736710814</v>
      </c>
      <c r="AJ32" s="6">
        <f>'Câbles A-R'!$D$5+'Câbles A-R'!$D$10*COS(AJ29)</f>
        <v>569.5391913248383</v>
      </c>
      <c r="AK32" s="7">
        <f>'Câbles A-R'!$D$10*SIN(AJ29)</f>
        <v>8.018782319500676</v>
      </c>
      <c r="AL32" s="7">
        <f>'Câbles A-R'!$D$5+'Câbles A-R'!$D$10*COS(AL29)</f>
        <v>569.5391913248383</v>
      </c>
      <c r="AM32" s="10">
        <f>'Câbles A-R'!$D$10*SIN(AL29)</f>
        <v>-8.018782319500662</v>
      </c>
      <c r="AN32" s="6">
        <f>'Câbles A-R'!$D$5+'Câbles A-R'!$D$10*COS(AN29)</f>
        <v>569.8859521007447</v>
      </c>
      <c r="AO32" s="7">
        <f>'Câbles A-R'!$D$10*SIN(AN29)</f>
        <v>3.9942081784016943</v>
      </c>
      <c r="AP32" s="7">
        <f>'Câbles A-R'!$D$5+'Câbles A-R'!$D$10*COS(AP29)</f>
        <v>569.8859521007447</v>
      </c>
      <c r="AQ32" s="10">
        <f>'Câbles A-R'!$D$10*SIN(AP29)</f>
        <v>-3.9942081784016943</v>
      </c>
    </row>
    <row r="33" spans="1:43" ht="12.75">
      <c r="A33" s="2"/>
      <c r="B33" s="2" t="s">
        <v>86</v>
      </c>
      <c r="C33" s="2"/>
      <c r="D33" s="2">
        <f>SQRT((D23-D31)^2+(E23-E31)^2)</f>
        <v>500.6829454430898</v>
      </c>
      <c r="E33" s="2"/>
      <c r="F33" s="2"/>
      <c r="G33" s="2" t="s">
        <v>99</v>
      </c>
      <c r="H33" s="2"/>
      <c r="I33" s="2">
        <f>SQRT((I22-I30)^2+(J22-J30)^2)</f>
        <v>500.6829454430898</v>
      </c>
      <c r="J33" s="2"/>
      <c r="K33" s="2"/>
      <c r="L33" s="6">
        <f>SQRT((L23-L31)^2+(M23-M31)^2)</f>
        <v>500.6829454430898</v>
      </c>
      <c r="M33" s="7"/>
      <c r="N33" s="7">
        <f>SQRT((N22-N30)^2+(O22-O30)^2)</f>
        <v>500.6829454430898</v>
      </c>
      <c r="O33" s="10"/>
      <c r="P33" s="6">
        <f>SQRT((P23-P31)^2+(Q23-Q31)^2)</f>
        <v>500.3238855540858</v>
      </c>
      <c r="Q33" s="7"/>
      <c r="R33" s="7">
        <f>SQRT((R22-R30)^2+(S22-S30)^2)</f>
        <v>500.3238855540858</v>
      </c>
      <c r="S33" s="10"/>
      <c r="T33" s="6">
        <f>SQRT((T23-T31)^2+(U23-U31)^2)</f>
        <v>500.0088737617308</v>
      </c>
      <c r="U33" s="7"/>
      <c r="V33" s="7">
        <f>SQRT((V22-V30)^2+(W22-W30)^2)</f>
        <v>500.0088737617308</v>
      </c>
      <c r="W33" s="10"/>
      <c r="X33" s="6">
        <f>SQRT((X23-X31)^2+(Y23-Y31)^2)</f>
        <v>499.7389356250479</v>
      </c>
      <c r="Y33" s="7"/>
      <c r="Z33" s="7">
        <f>SQRT((Z22-Z30)^2+(AA22-AA30)^2)</f>
        <v>499.7389356250479</v>
      </c>
      <c r="AA33" s="10"/>
      <c r="AB33" s="6">
        <f>SQRT((AB23-AB31)^2+(AC23-AC31)^2)</f>
        <v>499.5152135847565</v>
      </c>
      <c r="AC33" s="7"/>
      <c r="AD33" s="7">
        <f>SQRT((AD22-AD30)^2+(AE22-AE30)^2)</f>
        <v>499.5152135847565</v>
      </c>
      <c r="AE33" s="10"/>
      <c r="AF33" s="6">
        <f>SQRT((AF23-AF31)^2+(AG23-AG31)^2)</f>
        <v>499.3389308578219</v>
      </c>
      <c r="AG33" s="7"/>
      <c r="AH33" s="7">
        <f>SQRT((AH22-AH30)^2+(AI22-AI30)^2)</f>
        <v>499.3389308578219</v>
      </c>
      <c r="AI33" s="10"/>
      <c r="AJ33" s="6">
        <f>SQRT((AJ23-AJ31)^2+(AK23-AK31)^2)</f>
        <v>499.2113651885597</v>
      </c>
      <c r="AK33" s="7"/>
      <c r="AL33" s="7">
        <f>SQRT((AL22-AL30)^2+(AM22-AM30)^2)</f>
        <v>499.2113651885597</v>
      </c>
      <c r="AM33" s="10"/>
      <c r="AN33" s="6">
        <f>SQRT((AN23-AN31)^2+(AO23-AO31)^2)</f>
        <v>499.1338328523199</v>
      </c>
      <c r="AO33" s="7"/>
      <c r="AP33" s="7">
        <f>SQRT((AP22-AP30)^2+(AQ22-AQ30)^2)</f>
        <v>499.1338328523199</v>
      </c>
      <c r="AQ33" s="10"/>
    </row>
    <row r="34" spans="1:43" ht="12.75">
      <c r="A34" s="2"/>
      <c r="B34" s="2"/>
      <c r="C34" s="2"/>
      <c r="D34" s="2"/>
      <c r="E34" s="2"/>
      <c r="F34" s="2"/>
      <c r="G34" s="2" t="s">
        <v>103</v>
      </c>
      <c r="H34" s="2"/>
      <c r="I34" s="2">
        <f>D29-D13</f>
        <v>0.46007085390268543</v>
      </c>
      <c r="J34" s="2"/>
      <c r="K34" s="2"/>
      <c r="L34" s="6"/>
      <c r="M34" s="7"/>
      <c r="N34" s="7">
        <f>L29-L13</f>
        <v>0.46007085390268543</v>
      </c>
      <c r="O34" s="10"/>
      <c r="P34" s="6"/>
      <c r="Q34" s="7"/>
      <c r="R34" s="7">
        <f>P29-P13</f>
        <v>0.40392940771299934</v>
      </c>
      <c r="S34" s="10"/>
      <c r="T34" s="6"/>
      <c r="U34" s="7"/>
      <c r="V34" s="7">
        <f>T29-T13</f>
        <v>0.3468701607589657</v>
      </c>
      <c r="W34" s="10"/>
      <c r="X34" s="6"/>
      <c r="Y34" s="7"/>
      <c r="Z34" s="7">
        <f>X29-X13</f>
        <v>0.28917099910339106</v>
      </c>
      <c r="AA34" s="10"/>
      <c r="AB34" s="6"/>
      <c r="AC34" s="7"/>
      <c r="AD34" s="7">
        <f>AB29-AB13</f>
        <v>0.23109366502577178</v>
      </c>
      <c r="AE34" s="10"/>
      <c r="AF34" s="6"/>
      <c r="AG34" s="7"/>
      <c r="AH34" s="7">
        <f>AF29-AF13</f>
        <v>0.1728896698953255</v>
      </c>
      <c r="AI34" s="10"/>
      <c r="AJ34" s="6"/>
      <c r="AK34" s="7"/>
      <c r="AL34" s="7">
        <f>AJ29-AJ13</f>
        <v>0.11480606592227627</v>
      </c>
      <c r="AM34" s="10"/>
      <c r="AN34" s="6"/>
      <c r="AO34" s="7"/>
      <c r="AP34" s="7">
        <f>AN29-AN13</f>
        <v>0.05709112555063656</v>
      </c>
      <c r="AQ34" s="10"/>
    </row>
    <row r="35" spans="1:43" ht="13.5" thickBot="1">
      <c r="A35" s="2"/>
      <c r="E35" s="2"/>
      <c r="F35" s="2"/>
      <c r="G35" s="2" t="s">
        <v>104</v>
      </c>
      <c r="H35" s="2"/>
      <c r="I35" s="2">
        <f>SQRT((D16-I32)^2+(E16-J32)^2)</f>
        <v>31.92168243937642</v>
      </c>
      <c r="J35" s="2"/>
      <c r="K35" s="2"/>
      <c r="L35" s="8"/>
      <c r="M35" s="9"/>
      <c r="N35" s="9">
        <f>SQRT((L16-N32)^2+(M16-O32)^2)</f>
        <v>31.92168243937642</v>
      </c>
      <c r="O35" s="11"/>
      <c r="P35" s="8"/>
      <c r="Q35" s="9"/>
      <c r="R35" s="9">
        <f>SQRT((P16-R32)^2+(Q16-S32)^2)</f>
        <v>28.083228138506787</v>
      </c>
      <c r="S35" s="11"/>
      <c r="T35" s="8"/>
      <c r="U35" s="9"/>
      <c r="V35" s="9">
        <f>SQRT((T16-V32)^2+(U16-W32)^2)</f>
        <v>24.15936700071273</v>
      </c>
      <c r="W35" s="11"/>
      <c r="X35" s="8"/>
      <c r="Y35" s="9"/>
      <c r="Z35" s="9">
        <f>SQRT((X16-Z32)^2+(Y16-AA32)^2)</f>
        <v>20.17151733352284</v>
      </c>
      <c r="AA35" s="11"/>
      <c r="AB35" s="8"/>
      <c r="AC35" s="9"/>
      <c r="AD35" s="9">
        <f>SQRT((AB16-AD32)^2+(AC16-AE32)^2)</f>
        <v>16.140584848734612</v>
      </c>
      <c r="AE35" s="11"/>
      <c r="AF35" s="8"/>
      <c r="AG35" s="9"/>
      <c r="AH35" s="9">
        <f>SQRT((AF16-AH32)^2+(AG16-AI32)^2)</f>
        <v>12.087209723507616</v>
      </c>
      <c r="AI35" s="11"/>
      <c r="AJ35" s="8"/>
      <c r="AK35" s="9"/>
      <c r="AL35" s="9">
        <f>SQRT((AJ16-AL32)^2+(AK16-AM32)^2)</f>
        <v>8.032011860215393</v>
      </c>
      <c r="AM35" s="11"/>
      <c r="AN35" s="8"/>
      <c r="AO35" s="9"/>
      <c r="AP35" s="9">
        <f>SQRT((AN16-AP32)^2+(AO16-AQ32)^2)</f>
        <v>3.9958360696774746</v>
      </c>
      <c r="AQ35" s="11"/>
    </row>
    <row r="36" spans="1:16" ht="13.5" thickBot="1">
      <c r="A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1" t="s">
        <v>100</v>
      </c>
      <c r="C37" s="2"/>
      <c r="D37" s="2"/>
      <c r="E37" s="2"/>
      <c r="F37" s="2"/>
      <c r="G37" s="3" t="s">
        <v>178</v>
      </c>
      <c r="H37" s="4"/>
      <c r="I37" s="5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49" t="s">
        <v>5</v>
      </c>
      <c r="D38" s="49" t="s">
        <v>6</v>
      </c>
      <c r="E38" s="2"/>
      <c r="F38" s="2"/>
      <c r="G38" s="33" t="s">
        <v>153</v>
      </c>
      <c r="H38" s="7">
        <f>-'Câbles A-R'!$D$12*8/8</f>
        <v>-40</v>
      </c>
      <c r="I38" s="10">
        <f>-DEGREES(N34)</f>
        <v>-26.360118205603776</v>
      </c>
      <c r="J38" s="2"/>
      <c r="K38" s="2"/>
      <c r="L38" s="2"/>
      <c r="M38" s="2"/>
      <c r="N38" s="2"/>
      <c r="O38" s="2"/>
      <c r="P38" s="2"/>
    </row>
    <row r="39" spans="1:16" ht="12.75">
      <c r="A39" s="2"/>
      <c r="B39" s="2" t="s">
        <v>27</v>
      </c>
      <c r="C39" s="49">
        <f>D3</f>
        <v>0</v>
      </c>
      <c r="D39" s="49">
        <f>E3</f>
        <v>0</v>
      </c>
      <c r="E39" s="2"/>
      <c r="F39" s="2"/>
      <c r="G39" s="33" t="s">
        <v>161</v>
      </c>
      <c r="H39" s="7">
        <f>-'Câbles A-R'!$D$12*7/8</f>
        <v>-35</v>
      </c>
      <c r="I39" s="10">
        <f>-DEGREES(R34)</f>
        <v>-23.143450283173944</v>
      </c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49">
        <f>D4</f>
        <v>5</v>
      </c>
      <c r="D40" s="49">
        <f>E4</f>
        <v>19.364916731037084</v>
      </c>
      <c r="E40" s="2"/>
      <c r="F40" s="2"/>
      <c r="G40" s="33" t="s">
        <v>162</v>
      </c>
      <c r="H40" s="7">
        <f>-'Câbles A-R'!$D$12*6/8</f>
        <v>-30</v>
      </c>
      <c r="I40" s="10">
        <f>-DEGREES(V34)</f>
        <v>-19.87419625051312</v>
      </c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49">
        <f>D9</f>
        <v>504</v>
      </c>
      <c r="D41" s="49">
        <f>E9</f>
        <v>29.732137494637012</v>
      </c>
      <c r="E41" s="2"/>
      <c r="F41" s="2"/>
      <c r="G41" s="33" t="s">
        <v>163</v>
      </c>
      <c r="H41" s="7">
        <f>-'Câbles A-R'!$D$12*5/8</f>
        <v>-25</v>
      </c>
      <c r="I41" s="10">
        <f>-DEGREES(Z34)</f>
        <v>-16.56827780620562</v>
      </c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49">
        <f>D8</f>
        <v>500</v>
      </c>
      <c r="D42" s="49">
        <f>E8</f>
        <v>0</v>
      </c>
      <c r="E42" s="2"/>
      <c r="F42" s="2"/>
      <c r="G42" s="33" t="s">
        <v>164</v>
      </c>
      <c r="H42" s="7">
        <f>-'Câbles A-R'!$D$12*4/8</f>
        <v>-20</v>
      </c>
      <c r="I42" s="10">
        <f>-DEGREES(AD34)</f>
        <v>-13.240691678186723</v>
      </c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49">
        <f>D16</f>
        <v>570</v>
      </c>
      <c r="D43" s="49">
        <f>E16</f>
        <v>0</v>
      </c>
      <c r="E43" s="2"/>
      <c r="F43" s="2"/>
      <c r="G43" s="33" t="s">
        <v>165</v>
      </c>
      <c r="H43" s="7">
        <f>-'Câbles A-R'!$D$12*3/8</f>
        <v>-15</v>
      </c>
      <c r="I43" s="10">
        <f>-DEGREES(AH34)</f>
        <v>-9.905848406412156</v>
      </c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49">
        <f>D8</f>
        <v>500</v>
      </c>
      <c r="D44" s="49">
        <f>E8</f>
        <v>0</v>
      </c>
      <c r="E44" s="2"/>
      <c r="F44" s="2"/>
      <c r="G44" s="33" t="s">
        <v>166</v>
      </c>
      <c r="H44" s="7">
        <f>-'Câbles A-R'!$D$12*2/8</f>
        <v>-10</v>
      </c>
      <c r="I44" s="10">
        <f>-DEGREES(AL34)</f>
        <v>-6.577903039847135</v>
      </c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49">
        <f>D10</f>
        <v>504</v>
      </c>
      <c r="D45" s="49">
        <f>E10</f>
        <v>-29.732137494637012</v>
      </c>
      <c r="E45" s="2"/>
      <c r="F45" s="2"/>
      <c r="G45" s="33" t="s">
        <v>167</v>
      </c>
      <c r="H45" s="7">
        <f>-'Câbles A-R'!$D$12*1/8</f>
        <v>-5</v>
      </c>
      <c r="I45" s="10">
        <f>-DEGREES(AP34)</f>
        <v>-3.2710805417029727</v>
      </c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49">
        <f>D5</f>
        <v>5</v>
      </c>
      <c r="D46" s="49">
        <f>E5</f>
        <v>-19.364916731037084</v>
      </c>
      <c r="E46" s="2"/>
      <c r="F46" s="2"/>
      <c r="G46" s="33" t="s">
        <v>168</v>
      </c>
      <c r="H46" s="7">
        <v>0</v>
      </c>
      <c r="I46" s="10">
        <v>0</v>
      </c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49">
        <f>D3</f>
        <v>0</v>
      </c>
      <c r="D47" s="49">
        <f>E3</f>
        <v>0</v>
      </c>
      <c r="E47" s="2"/>
      <c r="F47" s="2"/>
      <c r="G47" s="33" t="s">
        <v>169</v>
      </c>
      <c r="H47" s="7">
        <f>'Câbles A-R'!$D$12*1/8</f>
        <v>5</v>
      </c>
      <c r="I47" s="10">
        <f>-I45</f>
        <v>3.2710805417029727</v>
      </c>
      <c r="J47" s="2"/>
      <c r="K47" s="2"/>
      <c r="L47" s="2"/>
      <c r="M47" s="2"/>
      <c r="N47" s="2"/>
      <c r="O47" s="2"/>
      <c r="P47" s="2"/>
    </row>
    <row r="48" spans="1:16" ht="12.75">
      <c r="A48" s="2"/>
      <c r="B48" s="2" t="s">
        <v>28</v>
      </c>
      <c r="C48" s="49">
        <f>D3</f>
        <v>0</v>
      </c>
      <c r="D48" s="49">
        <f>E3</f>
        <v>0</v>
      </c>
      <c r="E48" s="2"/>
      <c r="F48" s="2"/>
      <c r="G48" s="33" t="s">
        <v>170</v>
      </c>
      <c r="H48" s="7">
        <f>'Câbles A-R'!$D$12*2/8</f>
        <v>10</v>
      </c>
      <c r="I48" s="10">
        <f>-I44</f>
        <v>6.577903039847135</v>
      </c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49">
        <f>D22</f>
        <v>-8.617306321727307</v>
      </c>
      <c r="D49" s="49">
        <f>E22</f>
        <v>18.04832490170538</v>
      </c>
      <c r="E49" s="2"/>
      <c r="F49" s="2"/>
      <c r="G49" s="33" t="s">
        <v>171</v>
      </c>
      <c r="H49" s="7">
        <f>'Câbles A-R'!$D$12*3/8</f>
        <v>15</v>
      </c>
      <c r="I49" s="10">
        <f>-I43</f>
        <v>9.905848406412156</v>
      </c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49">
        <f>D30</f>
        <v>490.38267037741264</v>
      </c>
      <c r="D50" s="49">
        <f>E30</f>
        <v>28.416667132697032</v>
      </c>
      <c r="E50" s="2"/>
      <c r="F50" s="2"/>
      <c r="G50" s="33" t="s">
        <v>172</v>
      </c>
      <c r="H50" s="7">
        <f>'Câbles A-R'!$D$12*4/8</f>
        <v>20</v>
      </c>
      <c r="I50" s="10">
        <f>-I42</f>
        <v>13.240691678186723</v>
      </c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49">
        <f>D8</f>
        <v>500</v>
      </c>
      <c r="D51" s="49">
        <f>E8</f>
        <v>0</v>
      </c>
      <c r="E51" s="2"/>
      <c r="F51" s="2"/>
      <c r="G51" s="33" t="s">
        <v>173</v>
      </c>
      <c r="H51" s="7">
        <f>'Câbles A-R'!$D$12*5/8</f>
        <v>25</v>
      </c>
      <c r="I51" s="10">
        <f>-I41</f>
        <v>16.56827780620562</v>
      </c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49">
        <f>D32</f>
        <v>562.7214727874258</v>
      </c>
      <c r="D52" s="49">
        <f>E32</f>
        <v>31.080811626728952</v>
      </c>
      <c r="E52" s="2"/>
      <c r="F52" s="2"/>
      <c r="G52" s="33" t="s">
        <v>174</v>
      </c>
      <c r="H52" s="7">
        <f>'Câbles A-R'!$D$12*6/8</f>
        <v>30</v>
      </c>
      <c r="I52" s="10">
        <f>-I40</f>
        <v>19.87419625051312</v>
      </c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49">
        <f>D8</f>
        <v>500</v>
      </c>
      <c r="D53" s="49">
        <f>E8</f>
        <v>0</v>
      </c>
      <c r="E53" s="2"/>
      <c r="F53" s="2"/>
      <c r="G53" s="33" t="s">
        <v>175</v>
      </c>
      <c r="H53" s="7">
        <f>'Câbles A-R'!$D$12*7/8</f>
        <v>35</v>
      </c>
      <c r="I53" s="10">
        <f>-I39</f>
        <v>23.143450283173944</v>
      </c>
      <c r="J53" s="2"/>
      <c r="K53" s="2"/>
      <c r="L53" s="2"/>
      <c r="M53" s="2"/>
      <c r="N53" s="2"/>
      <c r="O53" s="2"/>
      <c r="P53" s="2"/>
    </row>
    <row r="54" spans="1:16" ht="13.5" thickBot="1">
      <c r="A54" s="2"/>
      <c r="B54" s="2"/>
      <c r="C54" s="49">
        <f>D31</f>
        <v>516.7854979411503</v>
      </c>
      <c r="D54" s="49">
        <f>E31</f>
        <v>-24.86457437535658</v>
      </c>
      <c r="E54" s="2"/>
      <c r="F54" s="2"/>
      <c r="G54" s="34" t="s">
        <v>176</v>
      </c>
      <c r="H54" s="9">
        <f>'Câbles A-R'!$D$12*8/8</f>
        <v>40</v>
      </c>
      <c r="I54" s="11">
        <f>-I38</f>
        <v>26.360118205603776</v>
      </c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49">
        <f>D23</f>
        <v>16.27775075291709</v>
      </c>
      <c r="D55" s="49">
        <f>E23</f>
        <v>-11.620448804839988</v>
      </c>
      <c r="E55" s="2"/>
      <c r="F55" s="2"/>
      <c r="G55" s="2"/>
      <c r="H55" s="3" t="s">
        <v>179</v>
      </c>
      <c r="I55" s="5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49">
        <f>D3</f>
        <v>0</v>
      </c>
      <c r="D56" s="49">
        <f>E3</f>
        <v>0</v>
      </c>
      <c r="E56" s="2"/>
      <c r="F56" s="2"/>
      <c r="G56" s="2"/>
      <c r="H56" s="6">
        <f>H38*I60</f>
        <v>0</v>
      </c>
      <c r="I56" s="10">
        <f>I38*I60</f>
        <v>0</v>
      </c>
      <c r="J56" s="2"/>
      <c r="K56" s="2"/>
      <c r="L56" s="2"/>
      <c r="M56" s="2"/>
      <c r="N56" s="2"/>
      <c r="O56" s="2"/>
      <c r="P56" s="2"/>
    </row>
    <row r="57" spans="1:16" ht="12.75">
      <c r="A57" s="2"/>
      <c r="B57" s="2" t="s">
        <v>29</v>
      </c>
      <c r="C57" s="49">
        <f>D3</f>
        <v>0</v>
      </c>
      <c r="D57" s="49">
        <f>E3</f>
        <v>0</v>
      </c>
      <c r="E57" s="2"/>
      <c r="F57" s="2"/>
      <c r="G57" s="2"/>
      <c r="H57" s="6">
        <f>H46</f>
        <v>0</v>
      </c>
      <c r="I57" s="10">
        <f>I46</f>
        <v>0</v>
      </c>
      <c r="J57" s="2"/>
      <c r="K57" s="2"/>
      <c r="L57" s="2"/>
      <c r="M57" s="2"/>
      <c r="N57" s="2"/>
      <c r="O57" s="2"/>
      <c r="P57" s="2"/>
    </row>
    <row r="58" spans="1:16" ht="13.5" thickBot="1">
      <c r="A58" s="2"/>
      <c r="B58" s="2"/>
      <c r="C58" s="49">
        <f>I23</f>
        <v>-8.617306321727307</v>
      </c>
      <c r="D58" s="49">
        <f>J23</f>
        <v>-18.04832490170538</v>
      </c>
      <c r="E58" s="2"/>
      <c r="F58" s="2"/>
      <c r="G58" s="2"/>
      <c r="H58" s="8">
        <f>H54*I60</f>
        <v>0</v>
      </c>
      <c r="I58" s="11">
        <f>I54*I60</f>
        <v>0</v>
      </c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49">
        <f>I31</f>
        <v>490.38267037741264</v>
      </c>
      <c r="D59" s="49">
        <f>J31</f>
        <v>-28.416667132697032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49">
        <f>D8</f>
        <v>500</v>
      </c>
      <c r="D60" s="49">
        <f>E8</f>
        <v>0</v>
      </c>
      <c r="E60" s="2"/>
      <c r="F60" s="2"/>
      <c r="G60" s="2"/>
      <c r="H60" s="2"/>
      <c r="I60" s="2">
        <f>IF(I61=TRUE,1,0)</f>
        <v>0</v>
      </c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49">
        <f>I32</f>
        <v>562.7214727874258</v>
      </c>
      <c r="D61" s="49">
        <f>J32</f>
        <v>-31.080811626728952</v>
      </c>
      <c r="E61" s="2"/>
      <c r="F61" s="2"/>
      <c r="G61" s="2"/>
      <c r="H61" s="2"/>
      <c r="I61" s="2" t="b">
        <v>0</v>
      </c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49">
        <f>D8</f>
        <v>500</v>
      </c>
      <c r="D62" s="49">
        <f>E8</f>
        <v>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49">
        <f>I30</f>
        <v>516.7854979411503</v>
      </c>
      <c r="D63" s="49">
        <f>J30</f>
        <v>24.86457437535658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49">
        <f>I22</f>
        <v>16.27775075291709</v>
      </c>
      <c r="D64" s="49">
        <f>J22</f>
        <v>11.620448804839988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49">
        <f>D3</f>
        <v>0</v>
      </c>
      <c r="D65" s="49">
        <f>E3</f>
        <v>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49"/>
      <c r="D66" s="49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54">
        <f>MIN(C39:C65)</f>
        <v>-8.617306321727307</v>
      </c>
      <c r="D67" s="54">
        <f>MIN(D39:D65)</f>
        <v>-31.080811626728952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54">
        <f>MAX(C39:C65)</f>
        <v>570</v>
      </c>
      <c r="D68" s="54">
        <f>MAX(D39:D65)</f>
        <v>31.080811626728952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60" t="s">
        <v>185</v>
      </c>
      <c r="C69" s="56">
        <f>MAX(-D67,D68)*2.5*2</f>
        <v>155.40405813364475</v>
      </c>
      <c r="D69" s="57">
        <f>C68/2.5/2</f>
        <v>114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60" t="s">
        <v>185</v>
      </c>
      <c r="C70" s="58">
        <v>0</v>
      </c>
      <c r="D70" s="55">
        <f>-D69</f>
        <v>-114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Tarzan</dc:creator>
  <cp:keywords/>
  <dc:description/>
  <cp:lastModifiedBy>FAD</cp:lastModifiedBy>
  <dcterms:created xsi:type="dcterms:W3CDTF">2007-12-30T16:46:08Z</dcterms:created>
  <dcterms:modified xsi:type="dcterms:W3CDTF">2013-11-17T12:31:45Z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